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threekeycz-my.sharepoint.com/personal/jiri_lucky_3key_company/Documents/Projekty/PKI Maturity/"/>
    </mc:Choice>
  </mc:AlternateContent>
  <xr:revisionPtr revIDLastSave="3633" documentId="8_{AF3504D0-335F-48B1-9720-870254BC8BD9}" xr6:coauthVersionLast="47" xr6:coauthVersionMax="47" xr10:uidLastSave="{29EC80B7-1608-44A9-8738-9BA3482B591B}"/>
  <bookViews>
    <workbookView xWindow="-5640" yWindow="-21600" windowWidth="38610" windowHeight="20985" tabRatio="747" activeTab="3" xr2:uid="{D9EA6421-02F4-47D0-9324-650E25EAE308}"/>
  </bookViews>
  <sheets>
    <sheet name="Guidance" sheetId="7" r:id="rId1"/>
    <sheet name="Overview" sheetId="1" r:id="rId2"/>
    <sheet name="Scoping" sheetId="3" r:id="rId3"/>
    <sheet name="Assessment" sheetId="4" r:id="rId4"/>
    <sheet name="Evaluation" sheetId="6" r:id="rId5"/>
    <sheet name="AttestationReport" sheetId="12" r:id="rId6"/>
    <sheet name="AssessmentReport" sheetId="5" r:id="rId7"/>
    <sheet name="DetailedReport" sheetId="13" r:id="rId8"/>
    <sheet name="Reporting" sheetId="14" state="hidden" r:id="rId9"/>
    <sheet name="ActionPlans" sheetId="15" r:id="rId10"/>
    <sheet name="©" sheetId="8" r:id="rId11"/>
    <sheet name="RepoData" sheetId="9" state="hidden" r:id="rId12"/>
    <sheet name="tech" sheetId="2" state="hidden" r:id="rId13"/>
    <sheet name="source" sheetId="16"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S22" i="16" l="1"/>
  <c r="CS23" i="16"/>
  <c r="CS24" i="16"/>
  <c r="CS25" i="16"/>
  <c r="CS26" i="16"/>
  <c r="CS32" i="16"/>
  <c r="CS33" i="16"/>
  <c r="CS34" i="16"/>
  <c r="CS35" i="16"/>
  <c r="CS36" i="16"/>
  <c r="CS51" i="16"/>
  <c r="CS52" i="16"/>
  <c r="CS53" i="16"/>
  <c r="CS54" i="16"/>
  <c r="CS55" i="16"/>
  <c r="CS57" i="16"/>
  <c r="CS58" i="16"/>
  <c r="CS59" i="16"/>
  <c r="CS60" i="16"/>
  <c r="CS61" i="16"/>
  <c r="CS62" i="16"/>
  <c r="CS66" i="16"/>
  <c r="CS67" i="16"/>
  <c r="CS68" i="16"/>
  <c r="CS69" i="16"/>
  <c r="CS84" i="16"/>
  <c r="CS86" i="16"/>
  <c r="CS87" i="16"/>
  <c r="CS91" i="16"/>
  <c r="CS92" i="16"/>
  <c r="CS93" i="16"/>
  <c r="CS107" i="16"/>
  <c r="CS108" i="16"/>
  <c r="CS109" i="16"/>
  <c r="CS110" i="16"/>
  <c r="CS111" i="16"/>
  <c r="CS115" i="16"/>
  <c r="CS117" i="16"/>
  <c r="CG26" i="16"/>
  <c r="CG27" i="16"/>
  <c r="CG29" i="16"/>
  <c r="CG42" i="16"/>
  <c r="CG52" i="16"/>
  <c r="CG53" i="16"/>
  <c r="CG55" i="16"/>
  <c r="CG56" i="16"/>
  <c r="CG70" i="16"/>
  <c r="CG71" i="16"/>
  <c r="CG72" i="16"/>
  <c r="CG73" i="16"/>
  <c r="CG74" i="16"/>
  <c r="CG87" i="16"/>
  <c r="CG88" i="16"/>
  <c r="CG89" i="16"/>
  <c r="CG94" i="16"/>
  <c r="CG95" i="16"/>
  <c r="CG96" i="16"/>
  <c r="CG97" i="16"/>
  <c r="CG98" i="16"/>
  <c r="Y29" i="16"/>
  <c r="Y30" i="16"/>
  <c r="Y31" i="16"/>
  <c r="Y33" i="16"/>
  <c r="Y37" i="16"/>
  <c r="Y38" i="16"/>
  <c r="Y39" i="16"/>
  <c r="Y78" i="16"/>
  <c r="Y105" i="16"/>
  <c r="Y106" i="16"/>
  <c r="B118" i="2"/>
  <c r="B119" i="2"/>
  <c r="B120" i="2"/>
  <c r="B121" i="2"/>
  <c r="B122" i="2"/>
  <c r="B123" i="2"/>
  <c r="B124" i="2"/>
  <c r="B125" i="2"/>
  <c r="B126" i="2"/>
  <c r="B127" i="2"/>
  <c r="B128" i="2"/>
  <c r="B129" i="2"/>
  <c r="B130" i="2"/>
  <c r="B131" i="2"/>
  <c r="B117" i="2"/>
  <c r="CZ5" i="16"/>
  <c r="DA5" i="16"/>
  <c r="CZ6" i="16"/>
  <c r="DA6" i="16"/>
  <c r="CZ7" i="16"/>
  <c r="DA7" i="16"/>
  <c r="CZ8" i="16"/>
  <c r="DA8" i="16"/>
  <c r="CZ9" i="16"/>
  <c r="DA9" i="16"/>
  <c r="CZ10" i="16"/>
  <c r="DA10" i="16"/>
  <c r="CZ11" i="16"/>
  <c r="DA11" i="16"/>
  <c r="CZ12" i="16"/>
  <c r="DA12" i="16"/>
  <c r="CZ13" i="16"/>
  <c r="DA13" i="16"/>
  <c r="CZ14" i="16"/>
  <c r="DA14" i="16"/>
  <c r="CZ15" i="16"/>
  <c r="DA15" i="16"/>
  <c r="CZ16" i="16"/>
  <c r="DA16" i="16"/>
  <c r="CZ17" i="16"/>
  <c r="DA17" i="16"/>
  <c r="CZ18" i="16"/>
  <c r="DA18" i="16"/>
  <c r="CZ19" i="16"/>
  <c r="DA19" i="16"/>
  <c r="CZ20" i="16"/>
  <c r="DA20" i="16"/>
  <c r="CZ21" i="16"/>
  <c r="DA21" i="16"/>
  <c r="CZ22" i="16"/>
  <c r="DA22" i="16"/>
  <c r="CZ23" i="16"/>
  <c r="DA23" i="16"/>
  <c r="DA4" i="16"/>
  <c r="CZ4" i="16"/>
  <c r="D87" i="3"/>
  <c r="D92" i="3"/>
  <c r="D83" i="3"/>
  <c r="D77" i="3"/>
  <c r="D71" i="3"/>
  <c r="D65" i="3"/>
  <c r="D59" i="3"/>
  <c r="D53" i="3"/>
  <c r="D47" i="3"/>
  <c r="D40" i="3"/>
  <c r="D34" i="3"/>
  <c r="D28" i="3"/>
  <c r="D22" i="3"/>
  <c r="D16" i="3"/>
  <c r="D10" i="3"/>
  <c r="CW5" i="16"/>
  <c r="CW6" i="16"/>
  <c r="CW7" i="16"/>
  <c r="CW8" i="16"/>
  <c r="CW9" i="16"/>
  <c r="CW10" i="16"/>
  <c r="CW11" i="16"/>
  <c r="CW12" i="16"/>
  <c r="CW13" i="16"/>
  <c r="CW14" i="16"/>
  <c r="CW15" i="16"/>
  <c r="CW16" i="16"/>
  <c r="CW17" i="16"/>
  <c r="CW18" i="16"/>
  <c r="CW19" i="16"/>
  <c r="CW20" i="16"/>
  <c r="CW21" i="16"/>
  <c r="CW22" i="16"/>
  <c r="CW23" i="16"/>
  <c r="CW4" i="16"/>
  <c r="CV5" i="16"/>
  <c r="CV6" i="16"/>
  <c r="CV7" i="16"/>
  <c r="CV8" i="16"/>
  <c r="CV9" i="16"/>
  <c r="CV10" i="16"/>
  <c r="CV11" i="16"/>
  <c r="CV12" i="16"/>
  <c r="CV13" i="16"/>
  <c r="CV14" i="16"/>
  <c r="CV15" i="16"/>
  <c r="CV16" i="16"/>
  <c r="CV17" i="16"/>
  <c r="CV18" i="16"/>
  <c r="CV19" i="16"/>
  <c r="CV20" i="16"/>
  <c r="CV21" i="16"/>
  <c r="CV22" i="16"/>
  <c r="CV23" i="16"/>
  <c r="CV4" i="16"/>
  <c r="F118" i="2"/>
  <c r="F119" i="2"/>
  <c r="F120" i="2"/>
  <c r="F121" i="2"/>
  <c r="F122" i="2"/>
  <c r="F123" i="2"/>
  <c r="F124" i="2"/>
  <c r="F125" i="2"/>
  <c r="F126" i="2"/>
  <c r="F127" i="2"/>
  <c r="F128" i="2"/>
  <c r="F129" i="2"/>
  <c r="F130" i="2"/>
  <c r="F131" i="2"/>
  <c r="F117" i="2"/>
  <c r="C179" i="4"/>
  <c r="C169" i="4"/>
  <c r="C160" i="4"/>
  <c r="C144" i="4"/>
  <c r="C133" i="4"/>
  <c r="C122" i="4"/>
  <c r="C111" i="4"/>
  <c r="C95" i="4"/>
  <c r="C84" i="4"/>
  <c r="C72" i="4"/>
  <c r="C61" i="4"/>
  <c r="C45" i="4"/>
  <c r="C34" i="4"/>
  <c r="C23" i="4"/>
  <c r="C12" i="4"/>
  <c r="CO2" i="16"/>
  <c r="CP2" i="16" s="1"/>
  <c r="CI2" i="16"/>
  <c r="CJ2" i="16" s="1"/>
  <c r="CC2" i="16"/>
  <c r="CD2" i="16" s="1"/>
  <c r="BW2" i="16"/>
  <c r="BX2" i="16" s="1"/>
  <c r="BQ2" i="16"/>
  <c r="BR2" i="16" s="1"/>
  <c r="BK2" i="16"/>
  <c r="BL2" i="16" s="1"/>
  <c r="BE2" i="16"/>
  <c r="BF2" i="16" s="1"/>
  <c r="AY2" i="16"/>
  <c r="AZ2" i="16" s="1"/>
  <c r="AS2" i="16"/>
  <c r="AT2" i="16" s="1"/>
  <c r="AM2" i="16"/>
  <c r="AN2" i="16" s="1"/>
  <c r="AG2" i="16"/>
  <c r="AH2" i="16" s="1"/>
  <c r="AA2" i="16"/>
  <c r="AB2" i="16" s="1"/>
  <c r="AB7" i="16" s="1"/>
  <c r="AE7" i="16" s="1"/>
  <c r="U2" i="16"/>
  <c r="V2" i="16" s="1"/>
  <c r="O2" i="16"/>
  <c r="P2" i="16" s="1"/>
  <c r="I2" i="16"/>
  <c r="J2" i="16" s="1"/>
  <c r="F184" i="4"/>
  <c r="F185" i="4"/>
  <c r="F186" i="4"/>
  <c r="F183" i="4"/>
  <c r="CS50" i="16"/>
  <c r="CS56" i="16"/>
  <c r="CS85" i="16"/>
  <c r="CS116" i="16"/>
  <c r="F174" i="4"/>
  <c r="F175" i="4"/>
  <c r="F176" i="4"/>
  <c r="F177" i="4"/>
  <c r="F173" i="4"/>
  <c r="CM24" i="16"/>
  <c r="CM25" i="16"/>
  <c r="CM27" i="16"/>
  <c r="CM28" i="16"/>
  <c r="CM29" i="16"/>
  <c r="CM32" i="16"/>
  <c r="CM33" i="16"/>
  <c r="CM35" i="16"/>
  <c r="CM36" i="16"/>
  <c r="CM37" i="16"/>
  <c r="CM41" i="16"/>
  <c r="CM42" i="16"/>
  <c r="CM43" i="16"/>
  <c r="CM44" i="16"/>
  <c r="CM61" i="16"/>
  <c r="CM62" i="16"/>
  <c r="CM69" i="16"/>
  <c r="CM70" i="16"/>
  <c r="CM71" i="16"/>
  <c r="CM72" i="16"/>
  <c r="CM73" i="16"/>
  <c r="CM74" i="16"/>
  <c r="CM91" i="16"/>
  <c r="CM92" i="16"/>
  <c r="CM93" i="16"/>
  <c r="CM94" i="16"/>
  <c r="CM98" i="16"/>
  <c r="CM99" i="16"/>
  <c r="CM100" i="16"/>
  <c r="CM101" i="16"/>
  <c r="CM102" i="16"/>
  <c r="CM118" i="16"/>
  <c r="CM119" i="16"/>
  <c r="CM120" i="16"/>
  <c r="CM123" i="16"/>
  <c r="CM124" i="16"/>
  <c r="CM126" i="16"/>
  <c r="CM130" i="16"/>
  <c r="CM131" i="16"/>
  <c r="CM132" i="16"/>
  <c r="CM151" i="16"/>
  <c r="CM152" i="16"/>
  <c r="CM153" i="16"/>
  <c r="F165" i="4"/>
  <c r="F166" i="4"/>
  <c r="F167" i="4"/>
  <c r="F164" i="4"/>
  <c r="CG85" i="16"/>
  <c r="CG86" i="16"/>
  <c r="CG92" i="16"/>
  <c r="CG93" i="16"/>
  <c r="F149" i="4"/>
  <c r="F150" i="4"/>
  <c r="F151" i="4"/>
  <c r="F152" i="4"/>
  <c r="F153" i="4"/>
  <c r="F148" i="4"/>
  <c r="CA24" i="16"/>
  <c r="CA25" i="16"/>
  <c r="CA26" i="16"/>
  <c r="CA27" i="16"/>
  <c r="CA28" i="16"/>
  <c r="CA29" i="16"/>
  <c r="CA30" i="16"/>
  <c r="CA31" i="16"/>
  <c r="CA32" i="16"/>
  <c r="CA37" i="16"/>
  <c r="CA38" i="16"/>
  <c r="CA39" i="16"/>
  <c r="CA40" i="16"/>
  <c r="CA59" i="16"/>
  <c r="CA60" i="16"/>
  <c r="CA61" i="16"/>
  <c r="CA62" i="16"/>
  <c r="CA63" i="16"/>
  <c r="CA78" i="16"/>
  <c r="CA79" i="16"/>
  <c r="CA80" i="16"/>
  <c r="CA81" i="16"/>
  <c r="CA88" i="16"/>
  <c r="CA89" i="16"/>
  <c r="F138" i="4"/>
  <c r="F139" i="4"/>
  <c r="F140" i="4"/>
  <c r="F141" i="4"/>
  <c r="F142" i="4"/>
  <c r="F137" i="4"/>
  <c r="BU24" i="16"/>
  <c r="BU26" i="16"/>
  <c r="BU27" i="16"/>
  <c r="BU28" i="16"/>
  <c r="BU29" i="16"/>
  <c r="BU31" i="16"/>
  <c r="BU35" i="16"/>
  <c r="BU36" i="16"/>
  <c r="BU37" i="16"/>
  <c r="BU38" i="16"/>
  <c r="BU57" i="16"/>
  <c r="BU58" i="16"/>
  <c r="BU59" i="16"/>
  <c r="BU60" i="16"/>
  <c r="BU61" i="16"/>
  <c r="BU63" i="16"/>
  <c r="BU67" i="16"/>
  <c r="BU68" i="16"/>
  <c r="BU69" i="16"/>
  <c r="BU70" i="16"/>
  <c r="BU71" i="16"/>
  <c r="BU87" i="16"/>
  <c r="BU88" i="16"/>
  <c r="BU89" i="16"/>
  <c r="BU90" i="16"/>
  <c r="BU93" i="16"/>
  <c r="BU97" i="16"/>
  <c r="BU98" i="16"/>
  <c r="BU100" i="16"/>
  <c r="BU101" i="16"/>
  <c r="BU120" i="16"/>
  <c r="BU122" i="16"/>
  <c r="BU123" i="16"/>
  <c r="BU140" i="16"/>
  <c r="BU141" i="16"/>
  <c r="BU142" i="16"/>
  <c r="BU160" i="16"/>
  <c r="BU161" i="16"/>
  <c r="BU162" i="16"/>
  <c r="BU163" i="16"/>
  <c r="F127" i="4"/>
  <c r="F128" i="4"/>
  <c r="F129" i="4"/>
  <c r="F130" i="4"/>
  <c r="F131" i="4"/>
  <c r="F126" i="4"/>
  <c r="BO25" i="16"/>
  <c r="BO26" i="16"/>
  <c r="BO28" i="16"/>
  <c r="BO29" i="16"/>
  <c r="BO31" i="16"/>
  <c r="BO36" i="16"/>
  <c r="BO37" i="16"/>
  <c r="BO38" i="16"/>
  <c r="BO39" i="16"/>
  <c r="BO53" i="16"/>
  <c r="BO54" i="16"/>
  <c r="BO55" i="16"/>
  <c r="BO60" i="16"/>
  <c r="BO61" i="16"/>
  <c r="BO63" i="16"/>
  <c r="BO68" i="16"/>
  <c r="BO83" i="16"/>
  <c r="BO84" i="16"/>
  <c r="BO85" i="16"/>
  <c r="F116" i="4"/>
  <c r="F117" i="4"/>
  <c r="F118" i="4"/>
  <c r="F119" i="4"/>
  <c r="F120" i="4"/>
  <c r="F115" i="4"/>
  <c r="BI30" i="16"/>
  <c r="BI31" i="16"/>
  <c r="BI32" i="16"/>
  <c r="BI33" i="16"/>
  <c r="BI56" i="16"/>
  <c r="BI57" i="16"/>
  <c r="BI58" i="16"/>
  <c r="BI59" i="16"/>
  <c r="BI81" i="16"/>
  <c r="BI82" i="16"/>
  <c r="BI83" i="16"/>
  <c r="BI84" i="16"/>
  <c r="BI91" i="16"/>
  <c r="BI92" i="16"/>
  <c r="BI93" i="16"/>
  <c r="BI94" i="16"/>
  <c r="BI110" i="16"/>
  <c r="BI111" i="16"/>
  <c r="BI112" i="16"/>
  <c r="BI113" i="16"/>
  <c r="BI114" i="16"/>
  <c r="BI120" i="16"/>
  <c r="BI121" i="16"/>
  <c r="BI122" i="16"/>
  <c r="BI136" i="16"/>
  <c r="BI145" i="16"/>
  <c r="BI147" i="16"/>
  <c r="BI162" i="16"/>
  <c r="BI163" i="16"/>
  <c r="BI164" i="16"/>
  <c r="BI165" i="16"/>
  <c r="F99" i="4"/>
  <c r="BC26" i="16"/>
  <c r="BC27" i="16"/>
  <c r="BC28" i="16"/>
  <c r="BC30" i="16"/>
  <c r="BC31" i="16"/>
  <c r="BC36" i="16"/>
  <c r="BC37" i="16"/>
  <c r="BC38" i="16"/>
  <c r="BC39" i="16"/>
  <c r="BC40" i="16"/>
  <c r="BC56" i="16"/>
  <c r="BC57" i="16"/>
  <c r="BC58" i="16"/>
  <c r="BC61" i="16"/>
  <c r="BC62" i="16"/>
  <c r="BC63" i="16"/>
  <c r="BC64" i="16"/>
  <c r="BC65" i="16"/>
  <c r="BC66" i="16"/>
  <c r="BC67" i="16"/>
  <c r="BC72" i="16"/>
  <c r="BC73" i="16"/>
  <c r="BC74" i="16"/>
  <c r="BC93" i="16"/>
  <c r="BC94" i="16"/>
  <c r="BC95" i="16"/>
  <c r="BC96" i="16"/>
  <c r="BC117" i="16"/>
  <c r="BC118" i="16"/>
  <c r="BC119" i="16"/>
  <c r="BC120" i="16"/>
  <c r="BC121" i="16"/>
  <c r="BC137" i="16"/>
  <c r="BC138" i="16"/>
  <c r="BC139" i="16"/>
  <c r="CS230" i="16"/>
  <c r="CS229" i="16"/>
  <c r="CS228" i="16"/>
  <c r="CS227" i="16"/>
  <c r="CS226" i="16"/>
  <c r="CS225" i="16"/>
  <c r="CS224" i="16"/>
  <c r="CS223" i="16"/>
  <c r="CS222" i="16"/>
  <c r="CS221" i="16"/>
  <c r="CS220" i="16"/>
  <c r="CS219" i="16"/>
  <c r="CS218" i="16"/>
  <c r="CS217" i="16"/>
  <c r="CS216" i="16"/>
  <c r="CS215" i="16"/>
  <c r="CS214" i="16"/>
  <c r="CS213" i="16"/>
  <c r="CS212" i="16"/>
  <c r="CS211" i="16"/>
  <c r="CS210" i="16"/>
  <c r="CS209" i="16"/>
  <c r="CS208" i="16"/>
  <c r="CS207" i="16"/>
  <c r="CS206" i="16"/>
  <c r="CS205" i="16"/>
  <c r="CS204" i="16"/>
  <c r="CS203" i="16"/>
  <c r="CS202" i="16"/>
  <c r="CS201" i="16"/>
  <c r="CS200" i="16"/>
  <c r="CS199" i="16"/>
  <c r="CS198" i="16"/>
  <c r="CS197" i="16"/>
  <c r="CS196" i="16"/>
  <c r="CS195" i="16"/>
  <c r="CS194" i="16"/>
  <c r="CS193" i="16"/>
  <c r="CS192" i="16"/>
  <c r="CS191" i="16"/>
  <c r="CS190" i="16"/>
  <c r="CS189" i="16"/>
  <c r="CS188" i="16"/>
  <c r="CS187" i="16"/>
  <c r="CS186" i="16"/>
  <c r="CS185" i="16"/>
  <c r="CS184" i="16"/>
  <c r="CS183" i="16"/>
  <c r="CS182" i="16"/>
  <c r="CS181" i="16"/>
  <c r="CS180" i="16"/>
  <c r="CS179" i="16"/>
  <c r="CS178" i="16"/>
  <c r="CS177" i="16"/>
  <c r="CS176" i="16"/>
  <c r="CS175" i="16"/>
  <c r="CS174" i="16"/>
  <c r="CS173" i="16"/>
  <c r="CS172" i="16"/>
  <c r="CS171" i="16"/>
  <c r="CS170" i="16"/>
  <c r="CS169" i="16"/>
  <c r="CS168" i="16"/>
  <c r="CS167" i="16"/>
  <c r="CS166" i="16"/>
  <c r="CS165" i="16"/>
  <c r="CS164" i="16"/>
  <c r="CS163" i="16"/>
  <c r="CS162" i="16"/>
  <c r="CS161" i="16"/>
  <c r="CS160" i="16"/>
  <c r="CS159" i="16"/>
  <c r="CS158" i="16"/>
  <c r="CS157" i="16"/>
  <c r="CS156" i="16"/>
  <c r="CS155" i="16"/>
  <c r="CS154" i="16"/>
  <c r="CS153" i="16"/>
  <c r="CS152" i="16"/>
  <c r="CS151" i="16"/>
  <c r="CS150" i="16"/>
  <c r="CS149" i="16"/>
  <c r="CS148" i="16"/>
  <c r="CS147" i="16"/>
  <c r="CS146" i="16"/>
  <c r="CS145" i="16"/>
  <c r="CS144" i="16"/>
  <c r="CS143" i="16"/>
  <c r="CS142" i="16"/>
  <c r="CS141" i="16"/>
  <c r="CS140" i="16"/>
  <c r="CS139" i="16"/>
  <c r="CS138" i="16"/>
  <c r="CS137" i="16"/>
  <c r="CS136" i="16"/>
  <c r="CS135" i="16"/>
  <c r="CS134" i="16"/>
  <c r="CS133" i="16"/>
  <c r="CS132" i="16"/>
  <c r="CS131" i="16"/>
  <c r="CS130" i="16"/>
  <c r="CS129" i="16"/>
  <c r="CS128" i="16"/>
  <c r="CS127" i="16"/>
  <c r="CS126" i="16"/>
  <c r="CS125" i="16"/>
  <c r="CS124" i="16"/>
  <c r="CS123" i="16"/>
  <c r="CS122" i="16"/>
  <c r="CS121" i="16"/>
  <c r="CS120" i="16"/>
  <c r="CS119" i="16"/>
  <c r="CS118" i="16"/>
  <c r="CS114" i="16"/>
  <c r="CS113" i="16"/>
  <c r="CS112" i="16"/>
  <c r="CS106" i="16"/>
  <c r="CS105" i="16"/>
  <c r="CS104" i="16"/>
  <c r="CS103" i="16"/>
  <c r="CS102" i="16"/>
  <c r="CS101" i="16"/>
  <c r="CS100" i="16"/>
  <c r="CS99" i="16"/>
  <c r="CS98" i="16"/>
  <c r="CS97" i="16"/>
  <c r="CS96" i="16"/>
  <c r="CS95" i="16"/>
  <c r="CS94" i="16"/>
  <c r="CS90" i="16"/>
  <c r="CS89" i="16"/>
  <c r="CS88" i="16"/>
  <c r="CS83" i="16"/>
  <c r="CS82" i="16"/>
  <c r="CS81" i="16"/>
  <c r="CS80" i="16"/>
  <c r="CS79" i="16"/>
  <c r="CS78" i="16"/>
  <c r="CS77" i="16"/>
  <c r="CS76" i="16"/>
  <c r="CS75" i="16"/>
  <c r="CS74" i="16"/>
  <c r="CS73" i="16"/>
  <c r="CS72" i="16"/>
  <c r="CS71" i="16"/>
  <c r="CS70" i="16"/>
  <c r="CS65" i="16"/>
  <c r="CS64" i="16"/>
  <c r="CS63" i="16"/>
  <c r="CS49" i="16"/>
  <c r="CS48" i="16"/>
  <c r="CS47" i="16"/>
  <c r="CS46" i="16"/>
  <c r="CS45" i="16"/>
  <c r="CS44" i="16"/>
  <c r="CS43" i="16"/>
  <c r="CS42" i="16"/>
  <c r="CS41" i="16"/>
  <c r="CS40" i="16"/>
  <c r="CS39" i="16"/>
  <c r="CS38" i="16"/>
  <c r="CS37" i="16"/>
  <c r="CS31" i="16"/>
  <c r="CS30" i="16"/>
  <c r="CS29" i="16"/>
  <c r="CS28" i="16"/>
  <c r="CS27" i="16"/>
  <c r="CS21" i="16"/>
  <c r="CS20" i="16"/>
  <c r="CS19" i="16"/>
  <c r="CS18" i="16"/>
  <c r="CS17" i="16"/>
  <c r="CS16" i="16"/>
  <c r="CS15" i="16"/>
  <c r="CQ15" i="16"/>
  <c r="CQ16" i="16" s="1"/>
  <c r="CQ17" i="16" s="1"/>
  <c r="CQ18" i="16" s="1"/>
  <c r="CQ19" i="16" s="1"/>
  <c r="CQ20" i="16" s="1"/>
  <c r="CQ21" i="16" s="1"/>
  <c r="CP15" i="16"/>
  <c r="CP16" i="16" s="1"/>
  <c r="CP17" i="16" s="1"/>
  <c r="CR13" i="16"/>
  <c r="CQ13" i="16"/>
  <c r="CP13" i="16"/>
  <c r="CS13" i="16" s="1"/>
  <c r="CR12" i="16"/>
  <c r="CQ12" i="16"/>
  <c r="CP12" i="16"/>
  <c r="CS12" i="16" s="1"/>
  <c r="CR11" i="16"/>
  <c r="CQ11" i="16"/>
  <c r="CP11" i="16"/>
  <c r="CS11" i="16" s="1"/>
  <c r="CR10" i="16"/>
  <c r="CQ10" i="16"/>
  <c r="CP10" i="16"/>
  <c r="CS10" i="16" s="1"/>
  <c r="CR9" i="16"/>
  <c r="CQ9" i="16"/>
  <c r="CP9" i="16"/>
  <c r="CS9" i="16" s="1"/>
  <c r="CR8" i="16"/>
  <c r="CQ8" i="16"/>
  <c r="CP8" i="16"/>
  <c r="CS8" i="16" s="1"/>
  <c r="CR7" i="16"/>
  <c r="CQ7" i="16"/>
  <c r="CR6" i="16"/>
  <c r="CQ6" i="16"/>
  <c r="CR5" i="16"/>
  <c r="CQ5" i="16"/>
  <c r="CR4" i="16"/>
  <c r="CQ4" i="16"/>
  <c r="CM230" i="16"/>
  <c r="CM229" i="16"/>
  <c r="CM228" i="16"/>
  <c r="CM227" i="16"/>
  <c r="CM226" i="16"/>
  <c r="CM225" i="16"/>
  <c r="CM224" i="16"/>
  <c r="CM223" i="16"/>
  <c r="CM222" i="16"/>
  <c r="CM221" i="16"/>
  <c r="CM220" i="16"/>
  <c r="CM219" i="16"/>
  <c r="CM218" i="16"/>
  <c r="CM217" i="16"/>
  <c r="CM216" i="16"/>
  <c r="CM215" i="16"/>
  <c r="CM214" i="16"/>
  <c r="CM213" i="16"/>
  <c r="CM212" i="16"/>
  <c r="CM211" i="16"/>
  <c r="CM210" i="16"/>
  <c r="CM209" i="16"/>
  <c r="CM208" i="16"/>
  <c r="CM207" i="16"/>
  <c r="CM206" i="16"/>
  <c r="CM205" i="16"/>
  <c r="CM204" i="16"/>
  <c r="CM203" i="16"/>
  <c r="CM202" i="16"/>
  <c r="CM201" i="16"/>
  <c r="CM200" i="16"/>
  <c r="CM199" i="16"/>
  <c r="CM198" i="16"/>
  <c r="CM197" i="16"/>
  <c r="CM196" i="16"/>
  <c r="CM195" i="16"/>
  <c r="CM194" i="16"/>
  <c r="CM193" i="16"/>
  <c r="CM192" i="16"/>
  <c r="CM191" i="16"/>
  <c r="CM190" i="16"/>
  <c r="CM189" i="16"/>
  <c r="CM188" i="16"/>
  <c r="CM187" i="16"/>
  <c r="CM186" i="16"/>
  <c r="CM185" i="16"/>
  <c r="CM184" i="16"/>
  <c r="CM183" i="16"/>
  <c r="CM182" i="16"/>
  <c r="CM181" i="16"/>
  <c r="CM180" i="16"/>
  <c r="CM179" i="16"/>
  <c r="CM178" i="16"/>
  <c r="CM177" i="16"/>
  <c r="CM176" i="16"/>
  <c r="CM175" i="16"/>
  <c r="CM174" i="16"/>
  <c r="CM173" i="16"/>
  <c r="CM172" i="16"/>
  <c r="CM171" i="16"/>
  <c r="CM170" i="16"/>
  <c r="CM169" i="16"/>
  <c r="CM168" i="16"/>
  <c r="CM167" i="16"/>
  <c r="CM166" i="16"/>
  <c r="CM165" i="16"/>
  <c r="CM164" i="16"/>
  <c r="CM163" i="16"/>
  <c r="CM162" i="16"/>
  <c r="CM161" i="16"/>
  <c r="CM160" i="16"/>
  <c r="CM159" i="16"/>
  <c r="CM158" i="16"/>
  <c r="CM157" i="16"/>
  <c r="CM156" i="16"/>
  <c r="CM155" i="16"/>
  <c r="CM154" i="16"/>
  <c r="CM150" i="16"/>
  <c r="CM149" i="16"/>
  <c r="CM148" i="16"/>
  <c r="CM147" i="16"/>
  <c r="CM146" i="16"/>
  <c r="CM145" i="16"/>
  <c r="CM144" i="16"/>
  <c r="CM143" i="16"/>
  <c r="CM142" i="16"/>
  <c r="CM141" i="16"/>
  <c r="CM140" i="16"/>
  <c r="CM139" i="16"/>
  <c r="CM138" i="16"/>
  <c r="CM137" i="16"/>
  <c r="CM136" i="16"/>
  <c r="CM135" i="16"/>
  <c r="CM134" i="16"/>
  <c r="CM133" i="16"/>
  <c r="CM129" i="16"/>
  <c r="CM128" i="16"/>
  <c r="CM127" i="16"/>
  <c r="CM125" i="16"/>
  <c r="CM122" i="16"/>
  <c r="CM121" i="16"/>
  <c r="CM117" i="16"/>
  <c r="CM116" i="16"/>
  <c r="CM115" i="16"/>
  <c r="CM114" i="16"/>
  <c r="CM113" i="16"/>
  <c r="CM112" i="16"/>
  <c r="CM111" i="16"/>
  <c r="CM110" i="16"/>
  <c r="CM109" i="16"/>
  <c r="CM108" i="16"/>
  <c r="CM107" i="16"/>
  <c r="CM106" i="16"/>
  <c r="CM105" i="16"/>
  <c r="CM104" i="16"/>
  <c r="CM103" i="16"/>
  <c r="CM97" i="16"/>
  <c r="CM96" i="16"/>
  <c r="CM95" i="16"/>
  <c r="CM90" i="16"/>
  <c r="CM89" i="16"/>
  <c r="CM88" i="16"/>
  <c r="CM87" i="16"/>
  <c r="CM86" i="16"/>
  <c r="CM85" i="16"/>
  <c r="CM84" i="16"/>
  <c r="CM83" i="16"/>
  <c r="CM82" i="16"/>
  <c r="CM81" i="16"/>
  <c r="CM80" i="16"/>
  <c r="CM79" i="16"/>
  <c r="CM78" i="16"/>
  <c r="CM77" i="16"/>
  <c r="CM76" i="16"/>
  <c r="CM75" i="16"/>
  <c r="CM68" i="16"/>
  <c r="CM67" i="16"/>
  <c r="CM66" i="16"/>
  <c r="CM65" i="16"/>
  <c r="CM64" i="16"/>
  <c r="CM63" i="16"/>
  <c r="CM60" i="16"/>
  <c r="CM59" i="16"/>
  <c r="CM58" i="16"/>
  <c r="CM57" i="16"/>
  <c r="CM56" i="16"/>
  <c r="CM55" i="16"/>
  <c r="CM54" i="16"/>
  <c r="CM53" i="16"/>
  <c r="CM52" i="16"/>
  <c r="CM51" i="16"/>
  <c r="CM50" i="16"/>
  <c r="CM49" i="16"/>
  <c r="CM48" i="16"/>
  <c r="CM47" i="16"/>
  <c r="CM46" i="16"/>
  <c r="CM45" i="16"/>
  <c r="CM40" i="16"/>
  <c r="CM39" i="16"/>
  <c r="CM38" i="16"/>
  <c r="CM34" i="16"/>
  <c r="CM31" i="16"/>
  <c r="CM30" i="16"/>
  <c r="CM26" i="16"/>
  <c r="CM23" i="16"/>
  <c r="CM22" i="16"/>
  <c r="CM21" i="16"/>
  <c r="CM20" i="16"/>
  <c r="CM19" i="16"/>
  <c r="CM18" i="16"/>
  <c r="CM17" i="16"/>
  <c r="CM16" i="16"/>
  <c r="CM15" i="16"/>
  <c r="CK15" i="16"/>
  <c r="CK16" i="16" s="1"/>
  <c r="CK17" i="16" s="1"/>
  <c r="CK18" i="16" s="1"/>
  <c r="CK19" i="16" s="1"/>
  <c r="CK20" i="16" s="1"/>
  <c r="CK21" i="16" s="1"/>
  <c r="CK22" i="16" s="1"/>
  <c r="CK23" i="16" s="1"/>
  <c r="CK24" i="16" s="1"/>
  <c r="CK25" i="16" s="1"/>
  <c r="CK26" i="16" s="1"/>
  <c r="CK27" i="16" s="1"/>
  <c r="CK28" i="16" s="1"/>
  <c r="CK29" i="16" s="1"/>
  <c r="CK30" i="16" s="1"/>
  <c r="CK31" i="16" s="1"/>
  <c r="CK32" i="16" s="1"/>
  <c r="CK33" i="16" s="1"/>
  <c r="CK34" i="16" s="1"/>
  <c r="CK35" i="16" s="1"/>
  <c r="CK36" i="16" s="1"/>
  <c r="CK37" i="16" s="1"/>
  <c r="CK38" i="16" s="1"/>
  <c r="CK39" i="16" s="1"/>
  <c r="CK40" i="16" s="1"/>
  <c r="CK41" i="16" s="1"/>
  <c r="CK42" i="16" s="1"/>
  <c r="CK43" i="16" s="1"/>
  <c r="CK44" i="16" s="1"/>
  <c r="CK45" i="16" s="1"/>
  <c r="CK46" i="16" s="1"/>
  <c r="CK47" i="16" s="1"/>
  <c r="CK48" i="16" s="1"/>
  <c r="CK49" i="16" s="1"/>
  <c r="CK50" i="16" s="1"/>
  <c r="CK51" i="16" s="1"/>
  <c r="CK52" i="16" s="1"/>
  <c r="CK53" i="16" s="1"/>
  <c r="CK54" i="16" s="1"/>
  <c r="CK55" i="16" s="1"/>
  <c r="CK56" i="16" s="1"/>
  <c r="CK57" i="16" s="1"/>
  <c r="CK58" i="16" s="1"/>
  <c r="CK59" i="16" s="1"/>
  <c r="CK60" i="16" s="1"/>
  <c r="CK61" i="16" s="1"/>
  <c r="CK62" i="16" s="1"/>
  <c r="CK63" i="16" s="1"/>
  <c r="CK64" i="16" s="1"/>
  <c r="CK65" i="16" s="1"/>
  <c r="CK66" i="16" s="1"/>
  <c r="CK67" i="16" s="1"/>
  <c r="CK68" i="16" s="1"/>
  <c r="CK69" i="16" s="1"/>
  <c r="CK70" i="16" s="1"/>
  <c r="CK71" i="16" s="1"/>
  <c r="CK72" i="16" s="1"/>
  <c r="CK73" i="16" s="1"/>
  <c r="CK74" i="16" s="1"/>
  <c r="CK75" i="16" s="1"/>
  <c r="CK76" i="16" s="1"/>
  <c r="CK77" i="16" s="1"/>
  <c r="CK78" i="16" s="1"/>
  <c r="CK79" i="16" s="1"/>
  <c r="CK80" i="16" s="1"/>
  <c r="CK81" i="16" s="1"/>
  <c r="CK82" i="16" s="1"/>
  <c r="CK83" i="16" s="1"/>
  <c r="CK84" i="16" s="1"/>
  <c r="CK85" i="16" s="1"/>
  <c r="CK86" i="16" s="1"/>
  <c r="CK87" i="16" s="1"/>
  <c r="CK88" i="16" s="1"/>
  <c r="CK89" i="16" s="1"/>
  <c r="CK90" i="16" s="1"/>
  <c r="CK91" i="16" s="1"/>
  <c r="CK92" i="16" s="1"/>
  <c r="CK93" i="16" s="1"/>
  <c r="CK94" i="16" s="1"/>
  <c r="CK95" i="16" s="1"/>
  <c r="CK96" i="16" s="1"/>
  <c r="CK97" i="16" s="1"/>
  <c r="CK98" i="16" s="1"/>
  <c r="CK99" i="16" s="1"/>
  <c r="CK100" i="16" s="1"/>
  <c r="CK101" i="16" s="1"/>
  <c r="CK102" i="16" s="1"/>
  <c r="CK103" i="16" s="1"/>
  <c r="CK104" i="16" s="1"/>
  <c r="CK105" i="16" s="1"/>
  <c r="CK106" i="16" s="1"/>
  <c r="CK107" i="16" s="1"/>
  <c r="CK108" i="16" s="1"/>
  <c r="CK109" i="16" s="1"/>
  <c r="CK110" i="16" s="1"/>
  <c r="CK111" i="16" s="1"/>
  <c r="CK112" i="16" s="1"/>
  <c r="CK113" i="16" s="1"/>
  <c r="CK114" i="16" s="1"/>
  <c r="CK115" i="16" s="1"/>
  <c r="CK116" i="16" s="1"/>
  <c r="CK117" i="16" s="1"/>
  <c r="CK118" i="16" s="1"/>
  <c r="CK119" i="16" s="1"/>
  <c r="CK120" i="16" s="1"/>
  <c r="CK121" i="16" s="1"/>
  <c r="CK122" i="16" s="1"/>
  <c r="CK123" i="16" s="1"/>
  <c r="CK124" i="16" s="1"/>
  <c r="CK125" i="16" s="1"/>
  <c r="CK126" i="16" s="1"/>
  <c r="CK127" i="16" s="1"/>
  <c r="CK128" i="16" s="1"/>
  <c r="CK129" i="16" s="1"/>
  <c r="CK130" i="16" s="1"/>
  <c r="CK131" i="16" s="1"/>
  <c r="CK132" i="16" s="1"/>
  <c r="CK133" i="16" s="1"/>
  <c r="CK134" i="16" s="1"/>
  <c r="CK135" i="16" s="1"/>
  <c r="CK136" i="16" s="1"/>
  <c r="CK137" i="16" s="1"/>
  <c r="CK138" i="16" s="1"/>
  <c r="CK139" i="16" s="1"/>
  <c r="CK140" i="16" s="1"/>
  <c r="CK141" i="16" s="1"/>
  <c r="CK142" i="16" s="1"/>
  <c r="CK143" i="16" s="1"/>
  <c r="CK144" i="16" s="1"/>
  <c r="CK145" i="16" s="1"/>
  <c r="CK146" i="16" s="1"/>
  <c r="CK147" i="16" s="1"/>
  <c r="CK148" i="16" s="1"/>
  <c r="CK149" i="16" s="1"/>
  <c r="CK150" i="16" s="1"/>
  <c r="CK151" i="16" s="1"/>
  <c r="CK152" i="16" s="1"/>
  <c r="CK153" i="16" s="1"/>
  <c r="CK154" i="16" s="1"/>
  <c r="CK155" i="16" s="1"/>
  <c r="CK156" i="16" s="1"/>
  <c r="CK157" i="16" s="1"/>
  <c r="CK158" i="16" s="1"/>
  <c r="CK159" i="16" s="1"/>
  <c r="CK160" i="16" s="1"/>
  <c r="CK161" i="16" s="1"/>
  <c r="CK162" i="16" s="1"/>
  <c r="CK163" i="16" s="1"/>
  <c r="CK164" i="16" s="1"/>
  <c r="CK165" i="16" s="1"/>
  <c r="CK166" i="16" s="1"/>
  <c r="CK167" i="16" s="1"/>
  <c r="CK168" i="16" s="1"/>
  <c r="CK169" i="16" s="1"/>
  <c r="CK170" i="16" s="1"/>
  <c r="CK171" i="16" s="1"/>
  <c r="CK172" i="16" s="1"/>
  <c r="CK173" i="16" s="1"/>
  <c r="CK174" i="16" s="1"/>
  <c r="CK175" i="16" s="1"/>
  <c r="CK176" i="16" s="1"/>
  <c r="CK177" i="16" s="1"/>
  <c r="CK178" i="16" s="1"/>
  <c r="CK179" i="16" s="1"/>
  <c r="CK180" i="16" s="1"/>
  <c r="CK181" i="16" s="1"/>
  <c r="CK182" i="16" s="1"/>
  <c r="CK183" i="16" s="1"/>
  <c r="CK184" i="16" s="1"/>
  <c r="CK185" i="16" s="1"/>
  <c r="CK186" i="16" s="1"/>
  <c r="CK187" i="16" s="1"/>
  <c r="CK188" i="16" s="1"/>
  <c r="CK189" i="16" s="1"/>
  <c r="CK190" i="16" s="1"/>
  <c r="CK191" i="16" s="1"/>
  <c r="CK192" i="16" s="1"/>
  <c r="CK193" i="16" s="1"/>
  <c r="CK194" i="16" s="1"/>
  <c r="CK195" i="16" s="1"/>
  <c r="CK196" i="16" s="1"/>
  <c r="CK197" i="16" s="1"/>
  <c r="CK198" i="16" s="1"/>
  <c r="CK199" i="16" s="1"/>
  <c r="CK200" i="16" s="1"/>
  <c r="CK201" i="16" s="1"/>
  <c r="CK202" i="16" s="1"/>
  <c r="CK203" i="16" s="1"/>
  <c r="CK204" i="16" s="1"/>
  <c r="CK205" i="16" s="1"/>
  <c r="CK206" i="16" s="1"/>
  <c r="CK207" i="16" s="1"/>
  <c r="CK208" i="16" s="1"/>
  <c r="CK209" i="16" s="1"/>
  <c r="CK210" i="16" s="1"/>
  <c r="CK211" i="16" s="1"/>
  <c r="CK212" i="16" s="1"/>
  <c r="CK213" i="16" s="1"/>
  <c r="CK214" i="16" s="1"/>
  <c r="CK215" i="16" s="1"/>
  <c r="CK216" i="16" s="1"/>
  <c r="CK217" i="16" s="1"/>
  <c r="CK218" i="16" s="1"/>
  <c r="CK219" i="16" s="1"/>
  <c r="CK220" i="16" s="1"/>
  <c r="CK221" i="16" s="1"/>
  <c r="CK222" i="16" s="1"/>
  <c r="CK223" i="16" s="1"/>
  <c r="CK224" i="16" s="1"/>
  <c r="CK225" i="16" s="1"/>
  <c r="CK226" i="16" s="1"/>
  <c r="CK227" i="16" s="1"/>
  <c r="CK228" i="16" s="1"/>
  <c r="CK229" i="16" s="1"/>
  <c r="CK230" i="16" s="1"/>
  <c r="CJ15" i="16"/>
  <c r="CJ16" i="16" s="1"/>
  <c r="CJ17" i="16" s="1"/>
  <c r="CL13" i="16"/>
  <c r="CK13" i="16"/>
  <c r="CJ13" i="16"/>
  <c r="CM13" i="16" s="1"/>
  <c r="CL12" i="16"/>
  <c r="CK12" i="16"/>
  <c r="CJ12" i="16"/>
  <c r="CM12" i="16" s="1"/>
  <c r="CL11" i="16"/>
  <c r="CK11" i="16"/>
  <c r="CJ11" i="16"/>
  <c r="CM11" i="16" s="1"/>
  <c r="CL10" i="16"/>
  <c r="CK10" i="16"/>
  <c r="CJ10" i="16"/>
  <c r="CM10" i="16" s="1"/>
  <c r="CL9" i="16"/>
  <c r="CK9" i="16"/>
  <c r="CJ9" i="16"/>
  <c r="CM9" i="16" s="1"/>
  <c r="CL8" i="16"/>
  <c r="CK8" i="16"/>
  <c r="CL7" i="16"/>
  <c r="CK7" i="16"/>
  <c r="CL6" i="16"/>
  <c r="CK6" i="16"/>
  <c r="CL5" i="16"/>
  <c r="CK5" i="16"/>
  <c r="CL4" i="16"/>
  <c r="CK4" i="16"/>
  <c r="CG230" i="16"/>
  <c r="CG229" i="16"/>
  <c r="CG228" i="16"/>
  <c r="CG227" i="16"/>
  <c r="CG226" i="16"/>
  <c r="CG225" i="16"/>
  <c r="CG224" i="16"/>
  <c r="CG223" i="16"/>
  <c r="CG222" i="16"/>
  <c r="CG221" i="16"/>
  <c r="CG220" i="16"/>
  <c r="CG219" i="16"/>
  <c r="CG218" i="16"/>
  <c r="CG217" i="16"/>
  <c r="CG216" i="16"/>
  <c r="CG215" i="16"/>
  <c r="CG214" i="16"/>
  <c r="CG213" i="16"/>
  <c r="CG212" i="16"/>
  <c r="CG211" i="16"/>
  <c r="CG210" i="16"/>
  <c r="CG209" i="16"/>
  <c r="CG208" i="16"/>
  <c r="CG207" i="16"/>
  <c r="CG206" i="16"/>
  <c r="CG205" i="16"/>
  <c r="CG204" i="16"/>
  <c r="CG203" i="16"/>
  <c r="CG202" i="16"/>
  <c r="CG201" i="16"/>
  <c r="CG200" i="16"/>
  <c r="CG199" i="16"/>
  <c r="CG198" i="16"/>
  <c r="CG197" i="16"/>
  <c r="CG196" i="16"/>
  <c r="CG195" i="16"/>
  <c r="CG194" i="16"/>
  <c r="CG193" i="16"/>
  <c r="CG192" i="16"/>
  <c r="CG191" i="16"/>
  <c r="CG190" i="16"/>
  <c r="CG189" i="16"/>
  <c r="CG188" i="16"/>
  <c r="CG187" i="16"/>
  <c r="CG186" i="16"/>
  <c r="CG185" i="16"/>
  <c r="CG184" i="16"/>
  <c r="CG183" i="16"/>
  <c r="CG182" i="16"/>
  <c r="CG181" i="16"/>
  <c r="CG180" i="16"/>
  <c r="CG179" i="16"/>
  <c r="CG178" i="16"/>
  <c r="CG177" i="16"/>
  <c r="CG176" i="16"/>
  <c r="CG175" i="16"/>
  <c r="CG174" i="16"/>
  <c r="CG173" i="16"/>
  <c r="CG172" i="16"/>
  <c r="CG171" i="16"/>
  <c r="CG170" i="16"/>
  <c r="CG169" i="16"/>
  <c r="CG168" i="16"/>
  <c r="CG167" i="16"/>
  <c r="CG166" i="16"/>
  <c r="CG165" i="16"/>
  <c r="CG164" i="16"/>
  <c r="CG163" i="16"/>
  <c r="CG162" i="16"/>
  <c r="CG161" i="16"/>
  <c r="CG160" i="16"/>
  <c r="CG159" i="16"/>
  <c r="CG158" i="16"/>
  <c r="CG157" i="16"/>
  <c r="CG156" i="16"/>
  <c r="CG155" i="16"/>
  <c r="CG154" i="16"/>
  <c r="CG153" i="16"/>
  <c r="CG152" i="16"/>
  <c r="CG151" i="16"/>
  <c r="CG150" i="16"/>
  <c r="CG149" i="16"/>
  <c r="CG148" i="16"/>
  <c r="CG147" i="16"/>
  <c r="CG146" i="16"/>
  <c r="CG145" i="16"/>
  <c r="CG144" i="16"/>
  <c r="CG143" i="16"/>
  <c r="CG142" i="16"/>
  <c r="CG141" i="16"/>
  <c r="CG140" i="16"/>
  <c r="CG139" i="16"/>
  <c r="CG138" i="16"/>
  <c r="CG137" i="16"/>
  <c r="CG136" i="16"/>
  <c r="CG135" i="16"/>
  <c r="CG134" i="16"/>
  <c r="CG133" i="16"/>
  <c r="CG132" i="16"/>
  <c r="CG131" i="16"/>
  <c r="CG130" i="16"/>
  <c r="CG129" i="16"/>
  <c r="CG128" i="16"/>
  <c r="CG127" i="16"/>
  <c r="CG126" i="16"/>
  <c r="CG125" i="16"/>
  <c r="CG124" i="16"/>
  <c r="CG123" i="16"/>
  <c r="CG122" i="16"/>
  <c r="CG121" i="16"/>
  <c r="CG120" i="16"/>
  <c r="CG119" i="16"/>
  <c r="CG118" i="16"/>
  <c r="CG117" i="16"/>
  <c r="CG116" i="16"/>
  <c r="CG115" i="16"/>
  <c r="CG114" i="16"/>
  <c r="CG113" i="16"/>
  <c r="CG112" i="16"/>
  <c r="CG111" i="16"/>
  <c r="CG110" i="16"/>
  <c r="CG109" i="16"/>
  <c r="CG108" i="16"/>
  <c r="CG107" i="16"/>
  <c r="CG106" i="16"/>
  <c r="CG105" i="16"/>
  <c r="CG104" i="16"/>
  <c r="CG103" i="16"/>
  <c r="CG102" i="16"/>
  <c r="CG101" i="16"/>
  <c r="CG100" i="16"/>
  <c r="CG99" i="16"/>
  <c r="CG91" i="16"/>
  <c r="CG90" i="16"/>
  <c r="CG84" i="16"/>
  <c r="CG83" i="16"/>
  <c r="CG82" i="16"/>
  <c r="CG81" i="16"/>
  <c r="CG80" i="16"/>
  <c r="CG79" i="16"/>
  <c r="CG78" i="16"/>
  <c r="CG77" i="16"/>
  <c r="CG76" i="16"/>
  <c r="CG75" i="16"/>
  <c r="CG69" i="16"/>
  <c r="CG68" i="16"/>
  <c r="CG67" i="16"/>
  <c r="CG66" i="16"/>
  <c r="CG65" i="16"/>
  <c r="CG64" i="16"/>
  <c r="CG63" i="16"/>
  <c r="CG62" i="16"/>
  <c r="CG61" i="16"/>
  <c r="CG60" i="16"/>
  <c r="CG59" i="16"/>
  <c r="CG58" i="16"/>
  <c r="CG57" i="16"/>
  <c r="CG54" i="16"/>
  <c r="CG51" i="16"/>
  <c r="CG50" i="16"/>
  <c r="CG49" i="16"/>
  <c r="CG48" i="16"/>
  <c r="CG47" i="16"/>
  <c r="CG46" i="16"/>
  <c r="CG45" i="16"/>
  <c r="CG44" i="16"/>
  <c r="CG43" i="16"/>
  <c r="CG41" i="16"/>
  <c r="CG40" i="16"/>
  <c r="CG39" i="16"/>
  <c r="CG38" i="16"/>
  <c r="CG37" i="16"/>
  <c r="CG36" i="16"/>
  <c r="CG35" i="16"/>
  <c r="CG34" i="16"/>
  <c r="CG33" i="16"/>
  <c r="CG32" i="16"/>
  <c r="CG31" i="16"/>
  <c r="CG30" i="16"/>
  <c r="CG28" i="16"/>
  <c r="CG25" i="16"/>
  <c r="CG24" i="16"/>
  <c r="CG23" i="16"/>
  <c r="CG22" i="16"/>
  <c r="CG21" i="16"/>
  <c r="CG20" i="16"/>
  <c r="CG19" i="16"/>
  <c r="CG18" i="16"/>
  <c r="CG17" i="16"/>
  <c r="CG16" i="16"/>
  <c r="CG15" i="16"/>
  <c r="CE15" i="16"/>
  <c r="CE16" i="16" s="1"/>
  <c r="CE17" i="16" s="1"/>
  <c r="CE18" i="16" s="1"/>
  <c r="CE19" i="16" s="1"/>
  <c r="CE20" i="16" s="1"/>
  <c r="CE21" i="16" s="1"/>
  <c r="CE22" i="16" s="1"/>
  <c r="CE23" i="16" s="1"/>
  <c r="CE24" i="16" s="1"/>
  <c r="CE25" i="16" s="1"/>
  <c r="CD15" i="16"/>
  <c r="CD16" i="16" s="1"/>
  <c r="CF13" i="16"/>
  <c r="CE13" i="16"/>
  <c r="CD13" i="16"/>
  <c r="CG13" i="16" s="1"/>
  <c r="CF12" i="16"/>
  <c r="CE12" i="16"/>
  <c r="CD12" i="16"/>
  <c r="CG12" i="16" s="1"/>
  <c r="CF11" i="16"/>
  <c r="CE11" i="16"/>
  <c r="CD11" i="16"/>
  <c r="CG11" i="16" s="1"/>
  <c r="CF10" i="16"/>
  <c r="CE10" i="16"/>
  <c r="CD10" i="16"/>
  <c r="CG10" i="16" s="1"/>
  <c r="CF9" i="16"/>
  <c r="CE9" i="16"/>
  <c r="CD9" i="16"/>
  <c r="CG9" i="16" s="1"/>
  <c r="CF8" i="16"/>
  <c r="CE8" i="16"/>
  <c r="CD8" i="16"/>
  <c r="CG8" i="16" s="1"/>
  <c r="CF7" i="16"/>
  <c r="CE7" i="16"/>
  <c r="CF6" i="16"/>
  <c r="CE6" i="16"/>
  <c r="CF5" i="16"/>
  <c r="CE5" i="16"/>
  <c r="CF4" i="16"/>
  <c r="CE4" i="16"/>
  <c r="CA230" i="16"/>
  <c r="CA229" i="16"/>
  <c r="CA228" i="16"/>
  <c r="CA227" i="16"/>
  <c r="CA226" i="16"/>
  <c r="CA225" i="16"/>
  <c r="CA224" i="16"/>
  <c r="CA223" i="16"/>
  <c r="CA222" i="16"/>
  <c r="CA221" i="16"/>
  <c r="CA220" i="16"/>
  <c r="CA219" i="16"/>
  <c r="CA218" i="16"/>
  <c r="CA217" i="16"/>
  <c r="CA216" i="16"/>
  <c r="CA215" i="16"/>
  <c r="CA214" i="16"/>
  <c r="CA213" i="16"/>
  <c r="CA212" i="16"/>
  <c r="CA211" i="16"/>
  <c r="CA210" i="16"/>
  <c r="CA209" i="16"/>
  <c r="CA208" i="16"/>
  <c r="CA207" i="16"/>
  <c r="CA206" i="16"/>
  <c r="CA205" i="16"/>
  <c r="CA204" i="16"/>
  <c r="CA203" i="16"/>
  <c r="CA202" i="16"/>
  <c r="CA201" i="16"/>
  <c r="CA200" i="16"/>
  <c r="CA199" i="16"/>
  <c r="CA198" i="16"/>
  <c r="CA197" i="16"/>
  <c r="CA196" i="16"/>
  <c r="CA195" i="16"/>
  <c r="CA194" i="16"/>
  <c r="CA193" i="16"/>
  <c r="CA192" i="16"/>
  <c r="CA191" i="16"/>
  <c r="CA190" i="16"/>
  <c r="CA189" i="16"/>
  <c r="CA188" i="16"/>
  <c r="CA187" i="16"/>
  <c r="CA186" i="16"/>
  <c r="CA185" i="16"/>
  <c r="CA184" i="16"/>
  <c r="CA183" i="16"/>
  <c r="CA182" i="16"/>
  <c r="CA181" i="16"/>
  <c r="CA180" i="16"/>
  <c r="CA179" i="16"/>
  <c r="CA178" i="16"/>
  <c r="CA177" i="16"/>
  <c r="CA176" i="16"/>
  <c r="CA175" i="16"/>
  <c r="CA174" i="16"/>
  <c r="CA173" i="16"/>
  <c r="CA172" i="16"/>
  <c r="CA171" i="16"/>
  <c r="CA170" i="16"/>
  <c r="CA169" i="16"/>
  <c r="CA168" i="16"/>
  <c r="CA167" i="16"/>
  <c r="CA166" i="16"/>
  <c r="CA165" i="16"/>
  <c r="CA164" i="16"/>
  <c r="CA163" i="16"/>
  <c r="CA162" i="16"/>
  <c r="CA161" i="16"/>
  <c r="CA160" i="16"/>
  <c r="CA159" i="16"/>
  <c r="CA158" i="16"/>
  <c r="CA157" i="16"/>
  <c r="CA156" i="16"/>
  <c r="CA155" i="16"/>
  <c r="CA154" i="16"/>
  <c r="CA153" i="16"/>
  <c r="CA152" i="16"/>
  <c r="CA151" i="16"/>
  <c r="CA150" i="16"/>
  <c r="CA149" i="16"/>
  <c r="CA148" i="16"/>
  <c r="CA147" i="16"/>
  <c r="CA146" i="16"/>
  <c r="CA145" i="16"/>
  <c r="CA144" i="16"/>
  <c r="CA143" i="16"/>
  <c r="CA142" i="16"/>
  <c r="CA141" i="16"/>
  <c r="CA140" i="16"/>
  <c r="CA139" i="16"/>
  <c r="CA138" i="16"/>
  <c r="CA137" i="16"/>
  <c r="CA136" i="16"/>
  <c r="CA135" i="16"/>
  <c r="CA134" i="16"/>
  <c r="CA133" i="16"/>
  <c r="CA132" i="16"/>
  <c r="CA131" i="16"/>
  <c r="CA130" i="16"/>
  <c r="CA129" i="16"/>
  <c r="CA128" i="16"/>
  <c r="CA127" i="16"/>
  <c r="CA126" i="16"/>
  <c r="CA125" i="16"/>
  <c r="CA124" i="16"/>
  <c r="CA123" i="16"/>
  <c r="CA122" i="16"/>
  <c r="CA121" i="16"/>
  <c r="CA120" i="16"/>
  <c r="CA119" i="16"/>
  <c r="CA118" i="16"/>
  <c r="CA117" i="16"/>
  <c r="CA116" i="16"/>
  <c r="CA115" i="16"/>
  <c r="CA114" i="16"/>
  <c r="CA113" i="16"/>
  <c r="CA112" i="16"/>
  <c r="CA111" i="16"/>
  <c r="CA110" i="16"/>
  <c r="CA109" i="16"/>
  <c r="CA108" i="16"/>
  <c r="CA107" i="16"/>
  <c r="CA106" i="16"/>
  <c r="CA105" i="16"/>
  <c r="CA104" i="16"/>
  <c r="CA103" i="16"/>
  <c r="CA102" i="16"/>
  <c r="CA101" i="16"/>
  <c r="CA100" i="16"/>
  <c r="CA99" i="16"/>
  <c r="CA98" i="16"/>
  <c r="CA97" i="16"/>
  <c r="CA96" i="16"/>
  <c r="CA95" i="16"/>
  <c r="CA94" i="16"/>
  <c r="CA93" i="16"/>
  <c r="CA92" i="16"/>
  <c r="CA91" i="16"/>
  <c r="CA90" i="16"/>
  <c r="CA87" i="16"/>
  <c r="CA86" i="16"/>
  <c r="CA85" i="16"/>
  <c r="CA84" i="16"/>
  <c r="CA83" i="16"/>
  <c r="CA82" i="16"/>
  <c r="CA77" i="16"/>
  <c r="CA76" i="16"/>
  <c r="CA75" i="16"/>
  <c r="CA74" i="16"/>
  <c r="CA73" i="16"/>
  <c r="CA72" i="16"/>
  <c r="CA71" i="16"/>
  <c r="CA70" i="16"/>
  <c r="CA69" i="16"/>
  <c r="CA68" i="16"/>
  <c r="CA67" i="16"/>
  <c r="CA66" i="16"/>
  <c r="CA65" i="16"/>
  <c r="CA64" i="16"/>
  <c r="CA58" i="16"/>
  <c r="CA57" i="16"/>
  <c r="CA56" i="16"/>
  <c r="CA55" i="16"/>
  <c r="CA54" i="16"/>
  <c r="CA53" i="16"/>
  <c r="CA52" i="16"/>
  <c r="CA51" i="16"/>
  <c r="CA50" i="16"/>
  <c r="CA49" i="16"/>
  <c r="CA48" i="16"/>
  <c r="CA47" i="16"/>
  <c r="CA46" i="16"/>
  <c r="CA45" i="16"/>
  <c r="CA44" i="16"/>
  <c r="CA43" i="16"/>
  <c r="CA42" i="16"/>
  <c r="CA41" i="16"/>
  <c r="CA36" i="16"/>
  <c r="CA35" i="16"/>
  <c r="CA34" i="16"/>
  <c r="CA33" i="16"/>
  <c r="CA23" i="16"/>
  <c r="CA22" i="16"/>
  <c r="CA21" i="16"/>
  <c r="CA20" i="16"/>
  <c r="CA19" i="16"/>
  <c r="CA18" i="16"/>
  <c r="CA17" i="16"/>
  <c r="CA16" i="16"/>
  <c r="CA15" i="16"/>
  <c r="BY15" i="16"/>
  <c r="BY16" i="16" s="1"/>
  <c r="BY17" i="16" s="1"/>
  <c r="BY18" i="16" s="1"/>
  <c r="BY19" i="16" s="1"/>
  <c r="BY20" i="16" s="1"/>
  <c r="BY21" i="16" s="1"/>
  <c r="BY22" i="16" s="1"/>
  <c r="BY23" i="16" s="1"/>
  <c r="BX15" i="16"/>
  <c r="BX16" i="16" s="1"/>
  <c r="BZ13" i="16"/>
  <c r="BY13" i="16"/>
  <c r="BX13" i="16"/>
  <c r="CA13" i="16" s="1"/>
  <c r="BZ12" i="16"/>
  <c r="BY12" i="16"/>
  <c r="BX12" i="16"/>
  <c r="CA12" i="16" s="1"/>
  <c r="BZ11" i="16"/>
  <c r="BY11" i="16"/>
  <c r="BX11" i="16"/>
  <c r="CA11" i="16" s="1"/>
  <c r="BZ10" i="16"/>
  <c r="BY10" i="16"/>
  <c r="BX10" i="16"/>
  <c r="CA10" i="16" s="1"/>
  <c r="BZ9" i="16"/>
  <c r="BY9" i="16"/>
  <c r="BX9" i="16"/>
  <c r="CA9" i="16" s="1"/>
  <c r="BZ8" i="16"/>
  <c r="BY8" i="16"/>
  <c r="BX8" i="16"/>
  <c r="CA8" i="16" s="1"/>
  <c r="BZ7" i="16"/>
  <c r="BY7" i="16"/>
  <c r="BX7" i="16"/>
  <c r="CA7" i="16" s="1"/>
  <c r="BZ6" i="16"/>
  <c r="BY6" i="16"/>
  <c r="BZ5" i="16"/>
  <c r="BY5" i="16"/>
  <c r="BZ4" i="16"/>
  <c r="BY4" i="16"/>
  <c r="BU230" i="16"/>
  <c r="BU229" i="16"/>
  <c r="BU228" i="16"/>
  <c r="BU227" i="16"/>
  <c r="BU226" i="16"/>
  <c r="BU225" i="16"/>
  <c r="BU224" i="16"/>
  <c r="BU223" i="16"/>
  <c r="BU222" i="16"/>
  <c r="BU221" i="16"/>
  <c r="BU220" i="16"/>
  <c r="BU219" i="16"/>
  <c r="BU218" i="16"/>
  <c r="BU217" i="16"/>
  <c r="BU216" i="16"/>
  <c r="BU215" i="16"/>
  <c r="BU214" i="16"/>
  <c r="BU213" i="16"/>
  <c r="BU212" i="16"/>
  <c r="BU211" i="16"/>
  <c r="BU210" i="16"/>
  <c r="BU209" i="16"/>
  <c r="BU208" i="16"/>
  <c r="BU207" i="16"/>
  <c r="BU206" i="16"/>
  <c r="BU205" i="16"/>
  <c r="BU204" i="16"/>
  <c r="BU203" i="16"/>
  <c r="BU202" i="16"/>
  <c r="BU201" i="16"/>
  <c r="BU200" i="16"/>
  <c r="BU199" i="16"/>
  <c r="BU198" i="16"/>
  <c r="BU197" i="16"/>
  <c r="BU196" i="16"/>
  <c r="BU195" i="16"/>
  <c r="BU194" i="16"/>
  <c r="BU193" i="16"/>
  <c r="BU192" i="16"/>
  <c r="BU191" i="16"/>
  <c r="BU190" i="16"/>
  <c r="BU189" i="16"/>
  <c r="BU188" i="16"/>
  <c r="BU187" i="16"/>
  <c r="BU186" i="16"/>
  <c r="BU185" i="16"/>
  <c r="BU184" i="16"/>
  <c r="BU183" i="16"/>
  <c r="BU182" i="16"/>
  <c r="BU181" i="16"/>
  <c r="BU180" i="16"/>
  <c r="BU179" i="16"/>
  <c r="BU178" i="16"/>
  <c r="BU177" i="16"/>
  <c r="BU176" i="16"/>
  <c r="BU175" i="16"/>
  <c r="BU174" i="16"/>
  <c r="BU173" i="16"/>
  <c r="BU172" i="16"/>
  <c r="BU171" i="16"/>
  <c r="BU170" i="16"/>
  <c r="BU169" i="16"/>
  <c r="BU168" i="16"/>
  <c r="BU167" i="16"/>
  <c r="BU166" i="16"/>
  <c r="BU165" i="16"/>
  <c r="BU164" i="16"/>
  <c r="BU159" i="16"/>
  <c r="BU158" i="16"/>
  <c r="BU157" i="16"/>
  <c r="BU156" i="16"/>
  <c r="BU155" i="16"/>
  <c r="BU154" i="16"/>
  <c r="BU153" i="16"/>
  <c r="BU152" i="16"/>
  <c r="BU151" i="16"/>
  <c r="BU150" i="16"/>
  <c r="BU149" i="16"/>
  <c r="BU148" i="16"/>
  <c r="BU147" i="16"/>
  <c r="BU146" i="16"/>
  <c r="BU145" i="16"/>
  <c r="BU144" i="16"/>
  <c r="BU143" i="16"/>
  <c r="BU139" i="16"/>
  <c r="BU138" i="16"/>
  <c r="BU137" i="16"/>
  <c r="BU136" i="16"/>
  <c r="BU135" i="16"/>
  <c r="BU134" i="16"/>
  <c r="BU133" i="16"/>
  <c r="BU132" i="16"/>
  <c r="BU131" i="16"/>
  <c r="BU130" i="16"/>
  <c r="BU129" i="16"/>
  <c r="BU128" i="16"/>
  <c r="BU127" i="16"/>
  <c r="BU126" i="16"/>
  <c r="BU125" i="16"/>
  <c r="BU124" i="16"/>
  <c r="BU121" i="16"/>
  <c r="BU119" i="16"/>
  <c r="BU118" i="16"/>
  <c r="BU117" i="16"/>
  <c r="BU116" i="16"/>
  <c r="BU115" i="16"/>
  <c r="BU114" i="16"/>
  <c r="BU113" i="16"/>
  <c r="BU112" i="16"/>
  <c r="BU111" i="16"/>
  <c r="BU110" i="16"/>
  <c r="BU109" i="16"/>
  <c r="BU108" i="16"/>
  <c r="BU107" i="16"/>
  <c r="BU106" i="16"/>
  <c r="BU105" i="16"/>
  <c r="BU104" i="16"/>
  <c r="BU103" i="16"/>
  <c r="BU102" i="16"/>
  <c r="BU99" i="16"/>
  <c r="BU96" i="16"/>
  <c r="BU95" i="16"/>
  <c r="BU94" i="16"/>
  <c r="BU92" i="16"/>
  <c r="BU91" i="16"/>
  <c r="BU86" i="16"/>
  <c r="BU85" i="16"/>
  <c r="BU84" i="16"/>
  <c r="BU83" i="16"/>
  <c r="BU82" i="16"/>
  <c r="BU81" i="16"/>
  <c r="BU80" i="16"/>
  <c r="BU79" i="16"/>
  <c r="BU78" i="16"/>
  <c r="BU77" i="16"/>
  <c r="BU76" i="16"/>
  <c r="BU75" i="16"/>
  <c r="BU74" i="16"/>
  <c r="BU73" i="16"/>
  <c r="BU72" i="16"/>
  <c r="BU66" i="16"/>
  <c r="BU65" i="16"/>
  <c r="BU64" i="16"/>
  <c r="BU62" i="16"/>
  <c r="BU56" i="16"/>
  <c r="BU55" i="16"/>
  <c r="BU54" i="16"/>
  <c r="BU53" i="16"/>
  <c r="BU52" i="16"/>
  <c r="BU51" i="16"/>
  <c r="BU50" i="16"/>
  <c r="BU49" i="16"/>
  <c r="BU48" i="16"/>
  <c r="BU47" i="16"/>
  <c r="BU46" i="16"/>
  <c r="BU45" i="16"/>
  <c r="BU44" i="16"/>
  <c r="BU43" i="16"/>
  <c r="BU42" i="16"/>
  <c r="BU41" i="16"/>
  <c r="BU40" i="16"/>
  <c r="BU39" i="16"/>
  <c r="BU34" i="16"/>
  <c r="BU33" i="16"/>
  <c r="BU32" i="16"/>
  <c r="BU30" i="16"/>
  <c r="BU25" i="16"/>
  <c r="BU23" i="16"/>
  <c r="BU22" i="16"/>
  <c r="BU21" i="16"/>
  <c r="BU20" i="16"/>
  <c r="BU19" i="16"/>
  <c r="BU18" i="16"/>
  <c r="BU17" i="16"/>
  <c r="BU16" i="16"/>
  <c r="BU15" i="16"/>
  <c r="BS15" i="16"/>
  <c r="BS16" i="16" s="1"/>
  <c r="BS17" i="16" s="1"/>
  <c r="BS18" i="16" s="1"/>
  <c r="BS19" i="16" s="1"/>
  <c r="BS20" i="16" s="1"/>
  <c r="BS21" i="16" s="1"/>
  <c r="BS22" i="16" s="1"/>
  <c r="BS23" i="16" s="1"/>
  <c r="BR15" i="16"/>
  <c r="BR16" i="16" s="1"/>
  <c r="BT13" i="16"/>
  <c r="BS13" i="16"/>
  <c r="BR13" i="16"/>
  <c r="BU13" i="16" s="1"/>
  <c r="BT12" i="16"/>
  <c r="BS12" i="16"/>
  <c r="BR12" i="16"/>
  <c r="BU12" i="16" s="1"/>
  <c r="BT11" i="16"/>
  <c r="BS11" i="16"/>
  <c r="BR11" i="16"/>
  <c r="BU11" i="16" s="1"/>
  <c r="BT10" i="16"/>
  <c r="BS10" i="16"/>
  <c r="BR10" i="16"/>
  <c r="BU10" i="16" s="1"/>
  <c r="BT9" i="16"/>
  <c r="BS9" i="16"/>
  <c r="BT8" i="16"/>
  <c r="BS8" i="16"/>
  <c r="BT7" i="16"/>
  <c r="BS7" i="16"/>
  <c r="BT6" i="16"/>
  <c r="BS6" i="16"/>
  <c r="BT5" i="16"/>
  <c r="BS5" i="16"/>
  <c r="BT4" i="16"/>
  <c r="BS4" i="16"/>
  <c r="BO230" i="16"/>
  <c r="BO229" i="16"/>
  <c r="BO228" i="16"/>
  <c r="BO227" i="16"/>
  <c r="BO226" i="16"/>
  <c r="BO225" i="16"/>
  <c r="BO224" i="16"/>
  <c r="BO223" i="16"/>
  <c r="BO222" i="16"/>
  <c r="BO221" i="16"/>
  <c r="BO220" i="16"/>
  <c r="BO219" i="16"/>
  <c r="BO218" i="16"/>
  <c r="BO217" i="16"/>
  <c r="BO216" i="16"/>
  <c r="BO215" i="16"/>
  <c r="BO214" i="16"/>
  <c r="BO213" i="16"/>
  <c r="BO212" i="16"/>
  <c r="BO211" i="16"/>
  <c r="BO210" i="16"/>
  <c r="BO209" i="16"/>
  <c r="BO208" i="16"/>
  <c r="BO207" i="16"/>
  <c r="BO206" i="16"/>
  <c r="BO205" i="16"/>
  <c r="BO204" i="16"/>
  <c r="BO203" i="16"/>
  <c r="BO202" i="16"/>
  <c r="BO201" i="16"/>
  <c r="BO200" i="16"/>
  <c r="BO199" i="16"/>
  <c r="BO198" i="16"/>
  <c r="BO197" i="16"/>
  <c r="BO196" i="16"/>
  <c r="BO195" i="16"/>
  <c r="BO194" i="16"/>
  <c r="BO193" i="16"/>
  <c r="BO192" i="16"/>
  <c r="BO191" i="16"/>
  <c r="BO190" i="16"/>
  <c r="BO189" i="16"/>
  <c r="BO188" i="16"/>
  <c r="BO187" i="16"/>
  <c r="BO186" i="16"/>
  <c r="BO185" i="16"/>
  <c r="BO184" i="16"/>
  <c r="BO183" i="16"/>
  <c r="BO182" i="16"/>
  <c r="BO181" i="16"/>
  <c r="BO180" i="16"/>
  <c r="BO179" i="16"/>
  <c r="BO178" i="16"/>
  <c r="BO177" i="16"/>
  <c r="BO176" i="16"/>
  <c r="BO175" i="16"/>
  <c r="BO174" i="16"/>
  <c r="BO173" i="16"/>
  <c r="BO172" i="16"/>
  <c r="BO171" i="16"/>
  <c r="BO170" i="16"/>
  <c r="BO169" i="16"/>
  <c r="BO168" i="16"/>
  <c r="BO167" i="16"/>
  <c r="BO166" i="16"/>
  <c r="BO165" i="16"/>
  <c r="BO164" i="16"/>
  <c r="BO163" i="16"/>
  <c r="BO162" i="16"/>
  <c r="BO161" i="16"/>
  <c r="BO160" i="16"/>
  <c r="BO159" i="16"/>
  <c r="BO158" i="16"/>
  <c r="BO157" i="16"/>
  <c r="BO156" i="16"/>
  <c r="BO155" i="16"/>
  <c r="BO154" i="16"/>
  <c r="BO153" i="16"/>
  <c r="BO152" i="16"/>
  <c r="BO151" i="16"/>
  <c r="BO150" i="16"/>
  <c r="BO149" i="16"/>
  <c r="BO148" i="16"/>
  <c r="BO147" i="16"/>
  <c r="BO146" i="16"/>
  <c r="BO145" i="16"/>
  <c r="BO144" i="16"/>
  <c r="BO143" i="16"/>
  <c r="BO142" i="16"/>
  <c r="BO141" i="16"/>
  <c r="BO140" i="16"/>
  <c r="BO139" i="16"/>
  <c r="BO138" i="16"/>
  <c r="BO137" i="16"/>
  <c r="BO136" i="16"/>
  <c r="BO135" i="16"/>
  <c r="BO134" i="16"/>
  <c r="BO133" i="16"/>
  <c r="BO132" i="16"/>
  <c r="BO131" i="16"/>
  <c r="BO130" i="16"/>
  <c r="BO129" i="16"/>
  <c r="BO128" i="16"/>
  <c r="BO127" i="16"/>
  <c r="BO126" i="16"/>
  <c r="BO125" i="16"/>
  <c r="BO124" i="16"/>
  <c r="BO123" i="16"/>
  <c r="BO122" i="16"/>
  <c r="BO121" i="16"/>
  <c r="BO120" i="16"/>
  <c r="BO119" i="16"/>
  <c r="BO118" i="16"/>
  <c r="BO117" i="16"/>
  <c r="BO116" i="16"/>
  <c r="BO115" i="16"/>
  <c r="BO114" i="16"/>
  <c r="BO113" i="16"/>
  <c r="BO112" i="16"/>
  <c r="BO111" i="16"/>
  <c r="BO110" i="16"/>
  <c r="BO109" i="16"/>
  <c r="BO108" i="16"/>
  <c r="BO107" i="16"/>
  <c r="BO106" i="16"/>
  <c r="BO105" i="16"/>
  <c r="BO104" i="16"/>
  <c r="BO103" i="16"/>
  <c r="BO102" i="16"/>
  <c r="BO101" i="16"/>
  <c r="BO100" i="16"/>
  <c r="BO99" i="16"/>
  <c r="BO98" i="16"/>
  <c r="BO97" i="16"/>
  <c r="BO96" i="16"/>
  <c r="BO95" i="16"/>
  <c r="BO94" i="16"/>
  <c r="BO93" i="16"/>
  <c r="BO92" i="16"/>
  <c r="BO91" i="16"/>
  <c r="BO90" i="16"/>
  <c r="BO89" i="16"/>
  <c r="BO88" i="16"/>
  <c r="BO87" i="16"/>
  <c r="BO86" i="16"/>
  <c r="BO82" i="16"/>
  <c r="BO81" i="16"/>
  <c r="BO80" i="16"/>
  <c r="BO79" i="16"/>
  <c r="BO78" i="16"/>
  <c r="BO77" i="16"/>
  <c r="BO76" i="16"/>
  <c r="BO75" i="16"/>
  <c r="BO74" i="16"/>
  <c r="BO73" i="16"/>
  <c r="BO72" i="16"/>
  <c r="BO71" i="16"/>
  <c r="BO70" i="16"/>
  <c r="BO69" i="16"/>
  <c r="BO67" i="16"/>
  <c r="BO66" i="16"/>
  <c r="BO65" i="16"/>
  <c r="BO64" i="16"/>
  <c r="BO62" i="16"/>
  <c r="BO59" i="16"/>
  <c r="BO58" i="16"/>
  <c r="BO57" i="16"/>
  <c r="BO56" i="16"/>
  <c r="BO52" i="16"/>
  <c r="BO51" i="16"/>
  <c r="BO50" i="16"/>
  <c r="BO49" i="16"/>
  <c r="BO48" i="16"/>
  <c r="BO47" i="16"/>
  <c r="BO46" i="16"/>
  <c r="BO45" i="16"/>
  <c r="BO44" i="16"/>
  <c r="BO43" i="16"/>
  <c r="BO42" i="16"/>
  <c r="BO41" i="16"/>
  <c r="BO40" i="16"/>
  <c r="BO35" i="16"/>
  <c r="BO34" i="16"/>
  <c r="BO33" i="16"/>
  <c r="BO32" i="16"/>
  <c r="BO30" i="16"/>
  <c r="BO27" i="16"/>
  <c r="BO24" i="16"/>
  <c r="BO23" i="16"/>
  <c r="BO22" i="16"/>
  <c r="BO21" i="16"/>
  <c r="BO20" i="16"/>
  <c r="BO19" i="16"/>
  <c r="BO18" i="16"/>
  <c r="BO17" i="16"/>
  <c r="BO16" i="16"/>
  <c r="BO15" i="16"/>
  <c r="BM15" i="16"/>
  <c r="BM16" i="16" s="1"/>
  <c r="BM17" i="16" s="1"/>
  <c r="BM18" i="16" s="1"/>
  <c r="BM19" i="16" s="1"/>
  <c r="BM20" i="16" s="1"/>
  <c r="BM21" i="16" s="1"/>
  <c r="BM22" i="16" s="1"/>
  <c r="BM23" i="16" s="1"/>
  <c r="BM24" i="16" s="1"/>
  <c r="BL15" i="16"/>
  <c r="BN13" i="16"/>
  <c r="BM13" i="16"/>
  <c r="BL13" i="16"/>
  <c r="BO13" i="16" s="1"/>
  <c r="BN12" i="16"/>
  <c r="BM12" i="16"/>
  <c r="BL12" i="16"/>
  <c r="BO12" i="16" s="1"/>
  <c r="BN11" i="16"/>
  <c r="BM11" i="16"/>
  <c r="BL11" i="16"/>
  <c r="BO11" i="16" s="1"/>
  <c r="BN10" i="16"/>
  <c r="BM10" i="16"/>
  <c r="BL10" i="16"/>
  <c r="BO10" i="16" s="1"/>
  <c r="BN9" i="16"/>
  <c r="BM9" i="16"/>
  <c r="BL9" i="16"/>
  <c r="BO9" i="16" s="1"/>
  <c r="BN8" i="16"/>
  <c r="BM8" i="16"/>
  <c r="BL8" i="16"/>
  <c r="BO8" i="16" s="1"/>
  <c r="BN7" i="16"/>
  <c r="BM7" i="16"/>
  <c r="BL7" i="16"/>
  <c r="BO7" i="16" s="1"/>
  <c r="BN6" i="16"/>
  <c r="BM6" i="16"/>
  <c r="BN5" i="16"/>
  <c r="BM5" i="16"/>
  <c r="BN4" i="16"/>
  <c r="BM4" i="16"/>
  <c r="BI230" i="16"/>
  <c r="BI229" i="16"/>
  <c r="BI228" i="16"/>
  <c r="BI227" i="16"/>
  <c r="BI226" i="16"/>
  <c r="BI225" i="16"/>
  <c r="BI224" i="16"/>
  <c r="BI223" i="16"/>
  <c r="BI222" i="16"/>
  <c r="BI221" i="16"/>
  <c r="BI220" i="16"/>
  <c r="BI219" i="16"/>
  <c r="BI218" i="16"/>
  <c r="BI217" i="16"/>
  <c r="BI216" i="16"/>
  <c r="BI215" i="16"/>
  <c r="BI214" i="16"/>
  <c r="BI213" i="16"/>
  <c r="BI212" i="16"/>
  <c r="BI211" i="16"/>
  <c r="BI210" i="16"/>
  <c r="BI209" i="16"/>
  <c r="BI208" i="16"/>
  <c r="BI207" i="16"/>
  <c r="BI206" i="16"/>
  <c r="BI205" i="16"/>
  <c r="BI204" i="16"/>
  <c r="BI203" i="16"/>
  <c r="BI202" i="16"/>
  <c r="BI201" i="16"/>
  <c r="BI200" i="16"/>
  <c r="BI199" i="16"/>
  <c r="BI198" i="16"/>
  <c r="BI197" i="16"/>
  <c r="BI196" i="16"/>
  <c r="BI195" i="16"/>
  <c r="BI194" i="16"/>
  <c r="BI193" i="16"/>
  <c r="BI192" i="16"/>
  <c r="BI191" i="16"/>
  <c r="BI190" i="16"/>
  <c r="BI189" i="16"/>
  <c r="BI188" i="16"/>
  <c r="BI187" i="16"/>
  <c r="BI186" i="16"/>
  <c r="BI185" i="16"/>
  <c r="BI184" i="16"/>
  <c r="BI183" i="16"/>
  <c r="BI182" i="16"/>
  <c r="BI181" i="16"/>
  <c r="BI180" i="16"/>
  <c r="BI179" i="16"/>
  <c r="BI178" i="16"/>
  <c r="BI177" i="16"/>
  <c r="BI176" i="16"/>
  <c r="BI175" i="16"/>
  <c r="BI174" i="16"/>
  <c r="BI173" i="16"/>
  <c r="BI172" i="16"/>
  <c r="BI171" i="16"/>
  <c r="BI170" i="16"/>
  <c r="BI169" i="16"/>
  <c r="BI168" i="16"/>
  <c r="BI167" i="16"/>
  <c r="BI166" i="16"/>
  <c r="BI161" i="16"/>
  <c r="BI160" i="16"/>
  <c r="BI159" i="16"/>
  <c r="BI158" i="16"/>
  <c r="BI157" i="16"/>
  <c r="BI156" i="16"/>
  <c r="BI155" i="16"/>
  <c r="BI154" i="16"/>
  <c r="BI153" i="16"/>
  <c r="BI152" i="16"/>
  <c r="BI151" i="16"/>
  <c r="BI150" i="16"/>
  <c r="BI149" i="16"/>
  <c r="BI148" i="16"/>
  <c r="BI146" i="16"/>
  <c r="BI144" i="16"/>
  <c r="BI143" i="16"/>
  <c r="BI142" i="16"/>
  <c r="BI141" i="16"/>
  <c r="BI140" i="16"/>
  <c r="BI139" i="16"/>
  <c r="BI138" i="16"/>
  <c r="BI137" i="16"/>
  <c r="BI135" i="16"/>
  <c r="BI134" i="16"/>
  <c r="BI133" i="16"/>
  <c r="BI132" i="16"/>
  <c r="BI131" i="16"/>
  <c r="BI130" i="16"/>
  <c r="BI129" i="16"/>
  <c r="BI128" i="16"/>
  <c r="BI127" i="16"/>
  <c r="BI126" i="16"/>
  <c r="BI125" i="16"/>
  <c r="BI124" i="16"/>
  <c r="BI123" i="16"/>
  <c r="BI119" i="16"/>
  <c r="BI118" i="16"/>
  <c r="BI117" i="16"/>
  <c r="BI116" i="16"/>
  <c r="BI115" i="16"/>
  <c r="BI109" i="16"/>
  <c r="BI108" i="16"/>
  <c r="BI107" i="16"/>
  <c r="BI106" i="16"/>
  <c r="BI105" i="16"/>
  <c r="BI104" i="16"/>
  <c r="BI103" i="16"/>
  <c r="BI102" i="16"/>
  <c r="BI101" i="16"/>
  <c r="BI100" i="16"/>
  <c r="BI99" i="16"/>
  <c r="BI98" i="16"/>
  <c r="BI97" i="16"/>
  <c r="BI96" i="16"/>
  <c r="BI95" i="16"/>
  <c r="BI90" i="16"/>
  <c r="BI89" i="16"/>
  <c r="BI88" i="16"/>
  <c r="BI87" i="16"/>
  <c r="BI86" i="16"/>
  <c r="BI85" i="16"/>
  <c r="BI80" i="16"/>
  <c r="BI79" i="16"/>
  <c r="BI78" i="16"/>
  <c r="BI77" i="16"/>
  <c r="BI76" i="16"/>
  <c r="BI75" i="16"/>
  <c r="BI74" i="16"/>
  <c r="BI73" i="16"/>
  <c r="BI72" i="16"/>
  <c r="BI71" i="16"/>
  <c r="BI70" i="16"/>
  <c r="BI69" i="16"/>
  <c r="BI68" i="16"/>
  <c r="BI67" i="16"/>
  <c r="BI66" i="16"/>
  <c r="BI65" i="16"/>
  <c r="BI64" i="16"/>
  <c r="BI63" i="16"/>
  <c r="BI62" i="16"/>
  <c r="BI61" i="16"/>
  <c r="BI60" i="16"/>
  <c r="BI55" i="16"/>
  <c r="BI54" i="16"/>
  <c r="BI53" i="16"/>
  <c r="BI52" i="16"/>
  <c r="BI51" i="16"/>
  <c r="BI50" i="16"/>
  <c r="BI49" i="16"/>
  <c r="BI48" i="16"/>
  <c r="BI47" i="16"/>
  <c r="BI46" i="16"/>
  <c r="BI45" i="16"/>
  <c r="BI44" i="16"/>
  <c r="BI43" i="16"/>
  <c r="BI42" i="16"/>
  <c r="BI41" i="16"/>
  <c r="BI40" i="16"/>
  <c r="BI39" i="16"/>
  <c r="BI38" i="16"/>
  <c r="BI37" i="16"/>
  <c r="BI36" i="16"/>
  <c r="BI35" i="16"/>
  <c r="BI34" i="16"/>
  <c r="BI29" i="16"/>
  <c r="BI28" i="16"/>
  <c r="BI27" i="16"/>
  <c r="BI26" i="16"/>
  <c r="BI25" i="16"/>
  <c r="BI24" i="16"/>
  <c r="BI23" i="16"/>
  <c r="BI22" i="16"/>
  <c r="BI21" i="16"/>
  <c r="BI20" i="16"/>
  <c r="BI19" i="16"/>
  <c r="BI18" i="16"/>
  <c r="BI17" i="16"/>
  <c r="BF17" i="16"/>
  <c r="BI16" i="16"/>
  <c r="BI15" i="16"/>
  <c r="BG15" i="16"/>
  <c r="BG16" i="16" s="1"/>
  <c r="BG17" i="16" s="1"/>
  <c r="BG18" i="16" s="1"/>
  <c r="BG19" i="16" s="1"/>
  <c r="BG20" i="16" s="1"/>
  <c r="BG21" i="16" s="1"/>
  <c r="BG22" i="16" s="1"/>
  <c r="BG23" i="16" s="1"/>
  <c r="BG24" i="16" s="1"/>
  <c r="BG25" i="16" s="1"/>
  <c r="BG26" i="16" s="1"/>
  <c r="BG27" i="16" s="1"/>
  <c r="BG28" i="16" s="1"/>
  <c r="BG29" i="16" s="1"/>
  <c r="BF15" i="16"/>
  <c r="BF16" i="16" s="1"/>
  <c r="BH13" i="16"/>
  <c r="BG13" i="16"/>
  <c r="BF13" i="16"/>
  <c r="BI13" i="16" s="1"/>
  <c r="BH12" i="16"/>
  <c r="BG12" i="16"/>
  <c r="BF12" i="16"/>
  <c r="BI12" i="16" s="1"/>
  <c r="BH11" i="16"/>
  <c r="BG11" i="16"/>
  <c r="BF11" i="16"/>
  <c r="BI11" i="16" s="1"/>
  <c r="BH10" i="16"/>
  <c r="BG10" i="16"/>
  <c r="BF10" i="16"/>
  <c r="BI10" i="16" s="1"/>
  <c r="BH9" i="16"/>
  <c r="BG9" i="16"/>
  <c r="BH8" i="16"/>
  <c r="BG8" i="16"/>
  <c r="BH7" i="16"/>
  <c r="BG7" i="16"/>
  <c r="BH6" i="16"/>
  <c r="BG6" i="16"/>
  <c r="BH5" i="16"/>
  <c r="BG5" i="16"/>
  <c r="BH4" i="16"/>
  <c r="BG4" i="16"/>
  <c r="BC230" i="16"/>
  <c r="BC229" i="16"/>
  <c r="BC228" i="16"/>
  <c r="BC227" i="16"/>
  <c r="BC226" i="16"/>
  <c r="BC225" i="16"/>
  <c r="BC224" i="16"/>
  <c r="BC223" i="16"/>
  <c r="BC222" i="16"/>
  <c r="BC221" i="16"/>
  <c r="BC220" i="16"/>
  <c r="BC219" i="16"/>
  <c r="BC218" i="16"/>
  <c r="BC217" i="16"/>
  <c r="BC216" i="16"/>
  <c r="BC215" i="16"/>
  <c r="BC214" i="16"/>
  <c r="BC213" i="16"/>
  <c r="BC212" i="16"/>
  <c r="BC211" i="16"/>
  <c r="BC210" i="16"/>
  <c r="BC209" i="16"/>
  <c r="BC208" i="16"/>
  <c r="BC207" i="16"/>
  <c r="BC206" i="16"/>
  <c r="BC205" i="16"/>
  <c r="BC204" i="16"/>
  <c r="BC203" i="16"/>
  <c r="BC202" i="16"/>
  <c r="BC201" i="16"/>
  <c r="BC200" i="16"/>
  <c r="BC199" i="16"/>
  <c r="BC198" i="16"/>
  <c r="BC197" i="16"/>
  <c r="BC196" i="16"/>
  <c r="BC195" i="16"/>
  <c r="BC194" i="16"/>
  <c r="BC193" i="16"/>
  <c r="BC192" i="16"/>
  <c r="BC191" i="16"/>
  <c r="BC190" i="16"/>
  <c r="BC189" i="16"/>
  <c r="BC188" i="16"/>
  <c r="BC187" i="16"/>
  <c r="BC186" i="16"/>
  <c r="BC185" i="16"/>
  <c r="BC184" i="16"/>
  <c r="BC183" i="16"/>
  <c r="BC182" i="16"/>
  <c r="BC181" i="16"/>
  <c r="BC180" i="16"/>
  <c r="BC179" i="16"/>
  <c r="BC178" i="16"/>
  <c r="BC177" i="16"/>
  <c r="BC176" i="16"/>
  <c r="BC175" i="16"/>
  <c r="BC174" i="16"/>
  <c r="BC173" i="16"/>
  <c r="BC172" i="16"/>
  <c r="BC171" i="16"/>
  <c r="BC170" i="16"/>
  <c r="BC169" i="16"/>
  <c r="BC168" i="16"/>
  <c r="BC167" i="16"/>
  <c r="BC166" i="16"/>
  <c r="BC165" i="16"/>
  <c r="BC164" i="16"/>
  <c r="BC163" i="16"/>
  <c r="BC162" i="16"/>
  <c r="BC161" i="16"/>
  <c r="BC160" i="16"/>
  <c r="BC159" i="16"/>
  <c r="BC158" i="16"/>
  <c r="BC157" i="16"/>
  <c r="BC156" i="16"/>
  <c r="BC155" i="16"/>
  <c r="BC154" i="16"/>
  <c r="BC153" i="16"/>
  <c r="BC152" i="16"/>
  <c r="BC151" i="16"/>
  <c r="BC150" i="16"/>
  <c r="BC149" i="16"/>
  <c r="BC148" i="16"/>
  <c r="BC147" i="16"/>
  <c r="BC146" i="16"/>
  <c r="BC145" i="16"/>
  <c r="BC144" i="16"/>
  <c r="BC143" i="16"/>
  <c r="BC142" i="16"/>
  <c r="BC141" i="16"/>
  <c r="BC140" i="16"/>
  <c r="BC136" i="16"/>
  <c r="BC135" i="16"/>
  <c r="BC134" i="16"/>
  <c r="BC133" i="16"/>
  <c r="BC132" i="16"/>
  <c r="BC131" i="16"/>
  <c r="BC130" i="16"/>
  <c r="BC129" i="16"/>
  <c r="BC128" i="16"/>
  <c r="BC127" i="16"/>
  <c r="BC126" i="16"/>
  <c r="BC125" i="16"/>
  <c r="BC124" i="16"/>
  <c r="BC123" i="16"/>
  <c r="BC122" i="16"/>
  <c r="BC116" i="16"/>
  <c r="BC115" i="16"/>
  <c r="BC114" i="16"/>
  <c r="BC113" i="16"/>
  <c r="BC112" i="16"/>
  <c r="BC111" i="16"/>
  <c r="BC110" i="16"/>
  <c r="BC109" i="16"/>
  <c r="BC108" i="16"/>
  <c r="BC107" i="16"/>
  <c r="BC106" i="16"/>
  <c r="BC105" i="16"/>
  <c r="BC104" i="16"/>
  <c r="BC103" i="16"/>
  <c r="BC102" i="16"/>
  <c r="BC101" i="16"/>
  <c r="BC100" i="16"/>
  <c r="BC99" i="16"/>
  <c r="BC98" i="16"/>
  <c r="BC97" i="16"/>
  <c r="BC92" i="16"/>
  <c r="BC91" i="16"/>
  <c r="BC90" i="16"/>
  <c r="BC89" i="16"/>
  <c r="BC88" i="16"/>
  <c r="BC87" i="16"/>
  <c r="BC86" i="16"/>
  <c r="BC85" i="16"/>
  <c r="BC84" i="16"/>
  <c r="BC83" i="16"/>
  <c r="BC82" i="16"/>
  <c r="BC81" i="16"/>
  <c r="BC80" i="16"/>
  <c r="BC79" i="16"/>
  <c r="BC78" i="16"/>
  <c r="BC77" i="16"/>
  <c r="BC76" i="16"/>
  <c r="BC75" i="16"/>
  <c r="BC71" i="16"/>
  <c r="BC70" i="16"/>
  <c r="BC69" i="16"/>
  <c r="BC68" i="16"/>
  <c r="BC60" i="16"/>
  <c r="BC59" i="16"/>
  <c r="BC55" i="16"/>
  <c r="BC54" i="16"/>
  <c r="BC53" i="16"/>
  <c r="BC52" i="16"/>
  <c r="BC51" i="16"/>
  <c r="BC50" i="16"/>
  <c r="BC49" i="16"/>
  <c r="BC48" i="16"/>
  <c r="BC47" i="16"/>
  <c r="BC46" i="16"/>
  <c r="BC45" i="16"/>
  <c r="BC44" i="16"/>
  <c r="BC43" i="16"/>
  <c r="BC42" i="16"/>
  <c r="BC41" i="16"/>
  <c r="BC35" i="16"/>
  <c r="BC34" i="16"/>
  <c r="BC33" i="16"/>
  <c r="BC32" i="16"/>
  <c r="BC29" i="16"/>
  <c r="BC25" i="16"/>
  <c r="BC24" i="16"/>
  <c r="BC23" i="16"/>
  <c r="BC22" i="16"/>
  <c r="BC21" i="16"/>
  <c r="BC20" i="16"/>
  <c r="BC19" i="16"/>
  <c r="BC18" i="16"/>
  <c r="BC17" i="16"/>
  <c r="BC16" i="16"/>
  <c r="BC15" i="16"/>
  <c r="BA15" i="16"/>
  <c r="BA16" i="16" s="1"/>
  <c r="BA17" i="16" s="1"/>
  <c r="BA18" i="16" s="1"/>
  <c r="BA19" i="16" s="1"/>
  <c r="BA20" i="16" s="1"/>
  <c r="BA21" i="16" s="1"/>
  <c r="BA22" i="16" s="1"/>
  <c r="BA23" i="16" s="1"/>
  <c r="BA24" i="16" s="1"/>
  <c r="BA25" i="16" s="1"/>
  <c r="AZ15" i="16"/>
  <c r="AZ16" i="16" s="1"/>
  <c r="BB13" i="16"/>
  <c r="BA13" i="16"/>
  <c r="AZ13" i="16"/>
  <c r="BC13" i="16" s="1"/>
  <c r="BB12" i="16"/>
  <c r="BA12" i="16"/>
  <c r="AZ12" i="16"/>
  <c r="BC12" i="16" s="1"/>
  <c r="BB11" i="16"/>
  <c r="BA11" i="16"/>
  <c r="AZ11" i="16"/>
  <c r="BC11" i="16" s="1"/>
  <c r="BB10" i="16"/>
  <c r="BA10" i="16"/>
  <c r="AZ10" i="16"/>
  <c r="BC10" i="16" s="1"/>
  <c r="BB9" i="16"/>
  <c r="BA9" i="16"/>
  <c r="AZ9" i="16"/>
  <c r="BC9" i="16" s="1"/>
  <c r="BB8" i="16"/>
  <c r="BA8" i="16"/>
  <c r="BB7" i="16"/>
  <c r="BA7" i="16"/>
  <c r="BB6" i="16"/>
  <c r="BA6" i="16"/>
  <c r="BB5" i="16"/>
  <c r="BA5" i="16"/>
  <c r="BB4" i="16"/>
  <c r="BA4" i="16"/>
  <c r="F88" i="4"/>
  <c r="AW24" i="16"/>
  <c r="AW25" i="16"/>
  <c r="AW26" i="16"/>
  <c r="AW27" i="16"/>
  <c r="AW28" i="16"/>
  <c r="AW29" i="16"/>
  <c r="AW30" i="16"/>
  <c r="AW36" i="16"/>
  <c r="AW37" i="16"/>
  <c r="AW38" i="16"/>
  <c r="AW39" i="16"/>
  <c r="AW40" i="16"/>
  <c r="AW55" i="16"/>
  <c r="AW56" i="16"/>
  <c r="AW57" i="16"/>
  <c r="AW65" i="16"/>
  <c r="AW67" i="16"/>
  <c r="AW68" i="16"/>
  <c r="AW69" i="16"/>
  <c r="AW83" i="16"/>
  <c r="AW84" i="16"/>
  <c r="AW85" i="16"/>
  <c r="AW86" i="16"/>
  <c r="AW87" i="16"/>
  <c r="AW92" i="16"/>
  <c r="AW93" i="16"/>
  <c r="AW94" i="16"/>
  <c r="AW95" i="16"/>
  <c r="AW114" i="16"/>
  <c r="AW115" i="16"/>
  <c r="AW116" i="16"/>
  <c r="AW117" i="16"/>
  <c r="AW134" i="16"/>
  <c r="AW135" i="16"/>
  <c r="AW136" i="16"/>
  <c r="AW137" i="16"/>
  <c r="AW138" i="16"/>
  <c r="AW139" i="16"/>
  <c r="AW140" i="16"/>
  <c r="AW141" i="16"/>
  <c r="AW146" i="16"/>
  <c r="AW147" i="16"/>
  <c r="AW230" i="16"/>
  <c r="AW229" i="16"/>
  <c r="AW228" i="16"/>
  <c r="AW227" i="16"/>
  <c r="AW226" i="16"/>
  <c r="AW225" i="16"/>
  <c r="AW224" i="16"/>
  <c r="AW223" i="16"/>
  <c r="AW222" i="16"/>
  <c r="AW221" i="16"/>
  <c r="AW220" i="16"/>
  <c r="AW219" i="16"/>
  <c r="AW218" i="16"/>
  <c r="AW217" i="16"/>
  <c r="AW216" i="16"/>
  <c r="AW215" i="16"/>
  <c r="AW214" i="16"/>
  <c r="AW213" i="16"/>
  <c r="AW212" i="16"/>
  <c r="AW211" i="16"/>
  <c r="AW210" i="16"/>
  <c r="AW209" i="16"/>
  <c r="AW208" i="16"/>
  <c r="AW207" i="16"/>
  <c r="AW206" i="16"/>
  <c r="AW205" i="16"/>
  <c r="AW204" i="16"/>
  <c r="AW203" i="16"/>
  <c r="AW202" i="16"/>
  <c r="AW201" i="16"/>
  <c r="AW200" i="16"/>
  <c r="AW199" i="16"/>
  <c r="AW198" i="16"/>
  <c r="AW197" i="16"/>
  <c r="AW196" i="16"/>
  <c r="AW195" i="16"/>
  <c r="AW194" i="16"/>
  <c r="AW193" i="16"/>
  <c r="AW192" i="16"/>
  <c r="AW191" i="16"/>
  <c r="AW190" i="16"/>
  <c r="AW189" i="16"/>
  <c r="AW188" i="16"/>
  <c r="AW187" i="16"/>
  <c r="AW186" i="16"/>
  <c r="AW185" i="16"/>
  <c r="AW184" i="16"/>
  <c r="AW183" i="16"/>
  <c r="AW182" i="16"/>
  <c r="AW181" i="16"/>
  <c r="AW180" i="16"/>
  <c r="AW179" i="16"/>
  <c r="AW178" i="16"/>
  <c r="AW177" i="16"/>
  <c r="AW176" i="16"/>
  <c r="AW175" i="16"/>
  <c r="AW174" i="16"/>
  <c r="AW173" i="16"/>
  <c r="AW172" i="16"/>
  <c r="AW171" i="16"/>
  <c r="AW170" i="16"/>
  <c r="AW169" i="16"/>
  <c r="AW168" i="16"/>
  <c r="AW167" i="16"/>
  <c r="AW166" i="16"/>
  <c r="AW165" i="16"/>
  <c r="AW164" i="16"/>
  <c r="AW163" i="16"/>
  <c r="AW162" i="16"/>
  <c r="AW161" i="16"/>
  <c r="AW160" i="16"/>
  <c r="AW159" i="16"/>
  <c r="AW158" i="16"/>
  <c r="AW157" i="16"/>
  <c r="AW156" i="16"/>
  <c r="AW155" i="16"/>
  <c r="AW154" i="16"/>
  <c r="AW153" i="16"/>
  <c r="AW152" i="16"/>
  <c r="AW151" i="16"/>
  <c r="AW150" i="16"/>
  <c r="AW149" i="16"/>
  <c r="AW148" i="16"/>
  <c r="AW145" i="16"/>
  <c r="AW144" i="16"/>
  <c r="AW143" i="16"/>
  <c r="AW142" i="16"/>
  <c r="AW133" i="16"/>
  <c r="AW132" i="16"/>
  <c r="AW131" i="16"/>
  <c r="AW130" i="16"/>
  <c r="AW129" i="16"/>
  <c r="AW128" i="16"/>
  <c r="AW127" i="16"/>
  <c r="AW126" i="16"/>
  <c r="AW125" i="16"/>
  <c r="AW124" i="16"/>
  <c r="AW123" i="16"/>
  <c r="AW122" i="16"/>
  <c r="AW121" i="16"/>
  <c r="AW120" i="16"/>
  <c r="AW119" i="16"/>
  <c r="AW118" i="16"/>
  <c r="AW113" i="16"/>
  <c r="AW112" i="16"/>
  <c r="AW111" i="16"/>
  <c r="AW110" i="16"/>
  <c r="AW109" i="16"/>
  <c r="AW108" i="16"/>
  <c r="AW107" i="16"/>
  <c r="AW106" i="16"/>
  <c r="AW105" i="16"/>
  <c r="AW104" i="16"/>
  <c r="AW103" i="16"/>
  <c r="AW102" i="16"/>
  <c r="AW101" i="16"/>
  <c r="AW100" i="16"/>
  <c r="AW99" i="16"/>
  <c r="AW98" i="16"/>
  <c r="AW97" i="16"/>
  <c r="AW96" i="16"/>
  <c r="AW91" i="16"/>
  <c r="AW90" i="16"/>
  <c r="AW89" i="16"/>
  <c r="AW88" i="16"/>
  <c r="AW82" i="16"/>
  <c r="AW81" i="16"/>
  <c r="AW80" i="16"/>
  <c r="AW79" i="16"/>
  <c r="AW78" i="16"/>
  <c r="AW77" i="16"/>
  <c r="AW76" i="16"/>
  <c r="AW75" i="16"/>
  <c r="AW74" i="16"/>
  <c r="AW73" i="16"/>
  <c r="AW72" i="16"/>
  <c r="AW71" i="16"/>
  <c r="AW70" i="16"/>
  <c r="AW66" i="16"/>
  <c r="AW64" i="16"/>
  <c r="AW63" i="16"/>
  <c r="AW62" i="16"/>
  <c r="AW61" i="16"/>
  <c r="AW60" i="16"/>
  <c r="AW59" i="16"/>
  <c r="AW58" i="16"/>
  <c r="AW54" i="16"/>
  <c r="AW53" i="16"/>
  <c r="AW52" i="16"/>
  <c r="AW51" i="16"/>
  <c r="AW50" i="16"/>
  <c r="AW49" i="16"/>
  <c r="AW48" i="16"/>
  <c r="AW47" i="16"/>
  <c r="AW46" i="16"/>
  <c r="AW45" i="16"/>
  <c r="AW44" i="16"/>
  <c r="AW43" i="16"/>
  <c r="AW42" i="16"/>
  <c r="AW41" i="16"/>
  <c r="AW35" i="16"/>
  <c r="AW34" i="16"/>
  <c r="AW33" i="16"/>
  <c r="AW32" i="16"/>
  <c r="AW31" i="16"/>
  <c r="AW23" i="16"/>
  <c r="AW22" i="16"/>
  <c r="AW21" i="16"/>
  <c r="AW20" i="16"/>
  <c r="AW19" i="16"/>
  <c r="AW18" i="16"/>
  <c r="AW17" i="16"/>
  <c r="AT17" i="16"/>
  <c r="AW16" i="16"/>
  <c r="AW15" i="16"/>
  <c r="AU15" i="16"/>
  <c r="AU16" i="16" s="1"/>
  <c r="AU17" i="16" s="1"/>
  <c r="AU18" i="16" s="1"/>
  <c r="AU19" i="16" s="1"/>
  <c r="AU20" i="16" s="1"/>
  <c r="AU21" i="16" s="1"/>
  <c r="AU22" i="16" s="1"/>
  <c r="AU23" i="16" s="1"/>
  <c r="AT15" i="16"/>
  <c r="AV13" i="16"/>
  <c r="AU13" i="16"/>
  <c r="AT13" i="16"/>
  <c r="AW13" i="16" s="1"/>
  <c r="AV12" i="16"/>
  <c r="AU12" i="16"/>
  <c r="AT12" i="16"/>
  <c r="AW12" i="16" s="1"/>
  <c r="AV11" i="16"/>
  <c r="AU11" i="16"/>
  <c r="AT11" i="16"/>
  <c r="AW11" i="16" s="1"/>
  <c r="AV10" i="16"/>
  <c r="AU10" i="16"/>
  <c r="AT10" i="16"/>
  <c r="AW10" i="16" s="1"/>
  <c r="AV9" i="16"/>
  <c r="AU9" i="16"/>
  <c r="AT9" i="16"/>
  <c r="AW9" i="16" s="1"/>
  <c r="AV8" i="16"/>
  <c r="AU8" i="16"/>
  <c r="AV7" i="16"/>
  <c r="AU7" i="16"/>
  <c r="AV6" i="16"/>
  <c r="AU6" i="16"/>
  <c r="AV5" i="16"/>
  <c r="AU5" i="16"/>
  <c r="AV4" i="16"/>
  <c r="AU4" i="16"/>
  <c r="AE201" i="16"/>
  <c r="AE202" i="16"/>
  <c r="AE203" i="16"/>
  <c r="AE204" i="16"/>
  <c r="AE205" i="16"/>
  <c r="AE206" i="16"/>
  <c r="AE207" i="16"/>
  <c r="AE208" i="16"/>
  <c r="AE209" i="16"/>
  <c r="AE210" i="16"/>
  <c r="AE211" i="16"/>
  <c r="AE212" i="16"/>
  <c r="AE213" i="16"/>
  <c r="AE214" i="16"/>
  <c r="AE215" i="16"/>
  <c r="AE216" i="16"/>
  <c r="AE217" i="16"/>
  <c r="AE218" i="16"/>
  <c r="AE219" i="16"/>
  <c r="AE220" i="16"/>
  <c r="AE221" i="16"/>
  <c r="AE222" i="16"/>
  <c r="AE223" i="16"/>
  <c r="AE224" i="16"/>
  <c r="AE225" i="16"/>
  <c r="AE226" i="16"/>
  <c r="AE227" i="16"/>
  <c r="AE228" i="16"/>
  <c r="AE229" i="16"/>
  <c r="AE230" i="16"/>
  <c r="Y201" i="16"/>
  <c r="Y202" i="16"/>
  <c r="Y203" i="16"/>
  <c r="Y204" i="16"/>
  <c r="Y205" i="16"/>
  <c r="Y206" i="16"/>
  <c r="Y207" i="16"/>
  <c r="Y208" i="16"/>
  <c r="Y209" i="16"/>
  <c r="Y210" i="16"/>
  <c r="Y211" i="16"/>
  <c r="Y212" i="16"/>
  <c r="Y213" i="16"/>
  <c r="Y214" i="16"/>
  <c r="Y215" i="16"/>
  <c r="Y216" i="16"/>
  <c r="Y217" i="16"/>
  <c r="Y218" i="16"/>
  <c r="Y219" i="16"/>
  <c r="Y220" i="16"/>
  <c r="Y221" i="16"/>
  <c r="Y222" i="16"/>
  <c r="Y223" i="16"/>
  <c r="Y224" i="16"/>
  <c r="Y225" i="16"/>
  <c r="Y226" i="16"/>
  <c r="Y227" i="16"/>
  <c r="Y228" i="16"/>
  <c r="Y229" i="16"/>
  <c r="Y230" i="16"/>
  <c r="S201" i="16"/>
  <c r="S202" i="16"/>
  <c r="S203" i="16"/>
  <c r="S204" i="16"/>
  <c r="S205" i="16"/>
  <c r="S206" i="16"/>
  <c r="S207" i="16"/>
  <c r="S208" i="16"/>
  <c r="S209" i="16"/>
  <c r="S210" i="16"/>
  <c r="S211" i="16"/>
  <c r="S212" i="16"/>
  <c r="S213" i="16"/>
  <c r="S214" i="16"/>
  <c r="S215" i="16"/>
  <c r="S216" i="16"/>
  <c r="S217" i="16"/>
  <c r="S218" i="16"/>
  <c r="S219" i="16"/>
  <c r="S220" i="16"/>
  <c r="S221" i="16"/>
  <c r="S222" i="16"/>
  <c r="S223" i="16"/>
  <c r="S224" i="16"/>
  <c r="S225" i="16"/>
  <c r="S226" i="16"/>
  <c r="S227" i="16"/>
  <c r="S228" i="16"/>
  <c r="S229" i="16"/>
  <c r="S230" i="16"/>
  <c r="AK201" i="16"/>
  <c r="AK202" i="16"/>
  <c r="AK203" i="16"/>
  <c r="AK204" i="16"/>
  <c r="AK205" i="16"/>
  <c r="AK206" i="16"/>
  <c r="AK207" i="16"/>
  <c r="AK208" i="16"/>
  <c r="AK209" i="16"/>
  <c r="AK210" i="16"/>
  <c r="AK211" i="16"/>
  <c r="AK212" i="16"/>
  <c r="AK213" i="16"/>
  <c r="AK214" i="16"/>
  <c r="AK215" i="16"/>
  <c r="AK216" i="16"/>
  <c r="AK217" i="16"/>
  <c r="AK218" i="16"/>
  <c r="AK219" i="16"/>
  <c r="AK220" i="16"/>
  <c r="AK221" i="16"/>
  <c r="AK222" i="16"/>
  <c r="AK223" i="16"/>
  <c r="AK224" i="16"/>
  <c r="AK225" i="16"/>
  <c r="AK226" i="16"/>
  <c r="AK227" i="16"/>
  <c r="AK228" i="16"/>
  <c r="AK229" i="16"/>
  <c r="AK230" i="16"/>
  <c r="AQ230" i="16"/>
  <c r="AQ201" i="16"/>
  <c r="AQ202" i="16"/>
  <c r="AO203" i="16"/>
  <c r="AO204" i="16" s="1"/>
  <c r="AO205" i="16" s="1"/>
  <c r="AO206" i="16" s="1"/>
  <c r="AO207" i="16" s="1"/>
  <c r="AO208" i="16" s="1"/>
  <c r="AO209" i="16" s="1"/>
  <c r="AO210" i="16" s="1"/>
  <c r="AO211" i="16" s="1"/>
  <c r="AO212" i="16" s="1"/>
  <c r="AO213" i="16" s="1"/>
  <c r="AO214" i="16" s="1"/>
  <c r="AO215" i="16" s="1"/>
  <c r="AO216" i="16" s="1"/>
  <c r="AO217" i="16" s="1"/>
  <c r="AO218" i="16" s="1"/>
  <c r="AO219" i="16" s="1"/>
  <c r="AO220" i="16" s="1"/>
  <c r="AO221" i="16" s="1"/>
  <c r="AO222" i="16" s="1"/>
  <c r="AO223" i="16" s="1"/>
  <c r="AO224" i="16" s="1"/>
  <c r="AO225" i="16" s="1"/>
  <c r="AO226" i="16" s="1"/>
  <c r="AO227" i="16" s="1"/>
  <c r="AO228" i="16" s="1"/>
  <c r="AO229" i="16" s="1"/>
  <c r="AO230" i="16" s="1"/>
  <c r="AQ203" i="16"/>
  <c r="AQ204" i="16"/>
  <c r="AQ205" i="16"/>
  <c r="AQ206" i="16"/>
  <c r="AQ207" i="16"/>
  <c r="AQ208" i="16"/>
  <c r="AQ209" i="16"/>
  <c r="AQ210" i="16"/>
  <c r="AQ211" i="16"/>
  <c r="AQ212" i="16"/>
  <c r="AQ213" i="16"/>
  <c r="AQ214" i="16"/>
  <c r="AQ215" i="16"/>
  <c r="AQ216" i="16"/>
  <c r="AQ217" i="16"/>
  <c r="AQ218" i="16"/>
  <c r="AQ219" i="16"/>
  <c r="AQ220" i="16"/>
  <c r="AQ221" i="16"/>
  <c r="AQ222" i="16"/>
  <c r="AQ223" i="16"/>
  <c r="AQ224" i="16"/>
  <c r="AQ225" i="16"/>
  <c r="AQ226" i="16"/>
  <c r="AQ227" i="16"/>
  <c r="AQ228" i="16"/>
  <c r="AQ229" i="16"/>
  <c r="AQ129" i="16"/>
  <c r="AQ130" i="16"/>
  <c r="AQ154" i="16"/>
  <c r="AQ155" i="16"/>
  <c r="AQ200" i="16"/>
  <c r="AQ199" i="16"/>
  <c r="AQ198" i="16"/>
  <c r="AQ197" i="16"/>
  <c r="AQ196" i="16"/>
  <c r="AQ195" i="16"/>
  <c r="AQ194" i="16"/>
  <c r="AQ193" i="16"/>
  <c r="AQ192" i="16"/>
  <c r="AQ191" i="16"/>
  <c r="AQ190" i="16"/>
  <c r="AQ189" i="16"/>
  <c r="AQ188" i="16"/>
  <c r="AQ187" i="16"/>
  <c r="AQ186" i="16"/>
  <c r="AQ185" i="16"/>
  <c r="AQ184" i="16"/>
  <c r="AQ183" i="16"/>
  <c r="AQ182" i="16"/>
  <c r="AQ181" i="16"/>
  <c r="AQ180" i="16"/>
  <c r="AQ179" i="16"/>
  <c r="AQ178" i="16"/>
  <c r="AQ177" i="16"/>
  <c r="AQ176" i="16"/>
  <c r="AQ175" i="16"/>
  <c r="AQ174" i="16"/>
  <c r="AQ173" i="16"/>
  <c r="AQ172" i="16"/>
  <c r="AQ171" i="16"/>
  <c r="AQ170" i="16"/>
  <c r="AQ169" i="16"/>
  <c r="AQ168" i="16"/>
  <c r="AQ167" i="16"/>
  <c r="AQ166" i="16"/>
  <c r="AQ165" i="16"/>
  <c r="AQ164" i="16"/>
  <c r="AQ163" i="16"/>
  <c r="AQ162" i="16"/>
  <c r="AQ161" i="16"/>
  <c r="AQ160" i="16"/>
  <c r="AQ159" i="16"/>
  <c r="AQ158" i="16"/>
  <c r="AQ157" i="16"/>
  <c r="AQ156" i="16"/>
  <c r="AQ153" i="16"/>
  <c r="AQ152" i="16"/>
  <c r="AQ151" i="16"/>
  <c r="AQ150" i="16"/>
  <c r="AQ149" i="16"/>
  <c r="AQ148" i="16"/>
  <c r="AQ147" i="16"/>
  <c r="AQ146" i="16"/>
  <c r="AQ145" i="16"/>
  <c r="AQ144" i="16"/>
  <c r="AQ143" i="16"/>
  <c r="AQ142" i="16"/>
  <c r="AQ141" i="16"/>
  <c r="AQ140" i="16"/>
  <c r="AQ139" i="16"/>
  <c r="AQ138" i="16"/>
  <c r="AQ137" i="16"/>
  <c r="AQ136" i="16"/>
  <c r="AQ135" i="16"/>
  <c r="AQ134" i="16"/>
  <c r="AQ133" i="16"/>
  <c r="AQ132" i="16"/>
  <c r="AQ131" i="16"/>
  <c r="AQ128" i="16"/>
  <c r="AQ127" i="16"/>
  <c r="AQ126" i="16"/>
  <c r="AQ125" i="16"/>
  <c r="AQ124" i="16"/>
  <c r="AQ123" i="16"/>
  <c r="AQ122" i="16"/>
  <c r="AQ121" i="16"/>
  <c r="AQ120" i="16"/>
  <c r="AQ119" i="16"/>
  <c r="AQ118" i="16"/>
  <c r="AQ117" i="16"/>
  <c r="AQ116" i="16"/>
  <c r="AQ115" i="16"/>
  <c r="AQ114" i="16"/>
  <c r="AQ113" i="16"/>
  <c r="AQ112" i="16"/>
  <c r="AQ111" i="16"/>
  <c r="AQ110" i="16"/>
  <c r="AQ109" i="16"/>
  <c r="AQ108" i="16"/>
  <c r="AQ107" i="16"/>
  <c r="AQ106" i="16"/>
  <c r="AQ105" i="16"/>
  <c r="AQ104" i="16"/>
  <c r="AQ103" i="16"/>
  <c r="AQ102" i="16"/>
  <c r="AQ101" i="16"/>
  <c r="AQ100" i="16"/>
  <c r="AQ99" i="16"/>
  <c r="AQ98" i="16"/>
  <c r="AQ97" i="16"/>
  <c r="AQ96" i="16"/>
  <c r="AQ95" i="16"/>
  <c r="AQ94" i="16"/>
  <c r="AQ93" i="16"/>
  <c r="AQ92" i="16"/>
  <c r="AQ91" i="16"/>
  <c r="AQ90" i="16"/>
  <c r="AQ89" i="16"/>
  <c r="AQ88" i="16"/>
  <c r="AQ87" i="16"/>
  <c r="AQ86" i="16"/>
  <c r="AQ85" i="16"/>
  <c r="AQ84" i="16"/>
  <c r="AQ83" i="16"/>
  <c r="AQ82" i="16"/>
  <c r="AQ81" i="16"/>
  <c r="AQ80" i="16"/>
  <c r="AQ79" i="16"/>
  <c r="AQ78" i="16"/>
  <c r="AQ77" i="16"/>
  <c r="AQ76" i="16"/>
  <c r="AQ75" i="16"/>
  <c r="AQ74" i="16"/>
  <c r="AQ73" i="16"/>
  <c r="AQ72" i="16"/>
  <c r="AQ71" i="16"/>
  <c r="AQ70" i="16"/>
  <c r="AQ69" i="16"/>
  <c r="AQ68" i="16"/>
  <c r="AQ67" i="16"/>
  <c r="AQ66" i="16"/>
  <c r="AQ65" i="16"/>
  <c r="AQ64" i="16"/>
  <c r="AQ63" i="16"/>
  <c r="AQ62" i="16"/>
  <c r="AQ61" i="16"/>
  <c r="AQ60" i="16"/>
  <c r="AQ59" i="16"/>
  <c r="AQ58" i="16"/>
  <c r="AQ57" i="16"/>
  <c r="AQ56" i="16"/>
  <c r="AQ55" i="16"/>
  <c r="AQ54" i="16"/>
  <c r="AQ53" i="16"/>
  <c r="AQ52" i="16"/>
  <c r="AQ51" i="16"/>
  <c r="AQ50" i="16"/>
  <c r="AQ49" i="16"/>
  <c r="AQ48" i="16"/>
  <c r="AQ47" i="16"/>
  <c r="AQ46" i="16"/>
  <c r="AQ45" i="16"/>
  <c r="AQ44" i="16"/>
  <c r="AQ43" i="16"/>
  <c r="AQ42" i="16"/>
  <c r="AQ41" i="16"/>
  <c r="AQ40" i="16"/>
  <c r="AQ39" i="16"/>
  <c r="AQ38" i="16"/>
  <c r="AQ37" i="16"/>
  <c r="AQ36" i="16"/>
  <c r="AQ35" i="16"/>
  <c r="AQ34" i="16"/>
  <c r="AQ33" i="16"/>
  <c r="AQ32" i="16"/>
  <c r="AQ31" i="16"/>
  <c r="AQ30" i="16"/>
  <c r="AQ29" i="16"/>
  <c r="AQ28" i="16"/>
  <c r="AQ27" i="16"/>
  <c r="AQ26" i="16"/>
  <c r="AQ25" i="16"/>
  <c r="AQ24" i="16"/>
  <c r="AQ23" i="16"/>
  <c r="AQ22" i="16"/>
  <c r="AQ21" i="16"/>
  <c r="AQ20" i="16"/>
  <c r="AQ19" i="16"/>
  <c r="AQ18" i="16"/>
  <c r="AQ17" i="16"/>
  <c r="AQ16" i="16"/>
  <c r="AQ15" i="16"/>
  <c r="AO15" i="16"/>
  <c r="AO16" i="16" s="1"/>
  <c r="AO17" i="16" s="1"/>
  <c r="AO18" i="16" s="1"/>
  <c r="AO19" i="16" s="1"/>
  <c r="AO20" i="16" s="1"/>
  <c r="AO21" i="16" s="1"/>
  <c r="AO22" i="16" s="1"/>
  <c r="AO23" i="16" s="1"/>
  <c r="AO24" i="16" s="1"/>
  <c r="AO25" i="16" s="1"/>
  <c r="AO26" i="16" s="1"/>
  <c r="AO27" i="16" s="1"/>
  <c r="AO28" i="16" s="1"/>
  <c r="AO29" i="16" s="1"/>
  <c r="AO30" i="16" s="1"/>
  <c r="AO31" i="16" s="1"/>
  <c r="AO32" i="16" s="1"/>
  <c r="AO33" i="16" s="1"/>
  <c r="AO34" i="16" s="1"/>
  <c r="AO35" i="16" s="1"/>
  <c r="AO36" i="16" s="1"/>
  <c r="AO37" i="16" s="1"/>
  <c r="AO38" i="16" s="1"/>
  <c r="AO39" i="16" s="1"/>
  <c r="AO40" i="16" s="1"/>
  <c r="AO41" i="16" s="1"/>
  <c r="AO42" i="16" s="1"/>
  <c r="AO43" i="16" s="1"/>
  <c r="AO44" i="16" s="1"/>
  <c r="AO45" i="16" s="1"/>
  <c r="AO46" i="16" s="1"/>
  <c r="AO47" i="16" s="1"/>
  <c r="AO48" i="16" s="1"/>
  <c r="AO49" i="16" s="1"/>
  <c r="AO50" i="16" s="1"/>
  <c r="AO51" i="16" s="1"/>
  <c r="AO52" i="16" s="1"/>
  <c r="AO53" i="16" s="1"/>
  <c r="AO54" i="16" s="1"/>
  <c r="AO55" i="16" s="1"/>
  <c r="AO56" i="16" s="1"/>
  <c r="AO57" i="16" s="1"/>
  <c r="AO58" i="16" s="1"/>
  <c r="AO59" i="16" s="1"/>
  <c r="AO60" i="16" s="1"/>
  <c r="AO61" i="16" s="1"/>
  <c r="AO62" i="16" s="1"/>
  <c r="AO63" i="16" s="1"/>
  <c r="AO64" i="16" s="1"/>
  <c r="AO65" i="16" s="1"/>
  <c r="AO66" i="16" s="1"/>
  <c r="AO67" i="16" s="1"/>
  <c r="AO68" i="16" s="1"/>
  <c r="AO69" i="16" s="1"/>
  <c r="AO70" i="16" s="1"/>
  <c r="AO71" i="16" s="1"/>
  <c r="AO72" i="16" s="1"/>
  <c r="AO73" i="16" s="1"/>
  <c r="AO74" i="16" s="1"/>
  <c r="AO75" i="16" s="1"/>
  <c r="AO76" i="16" s="1"/>
  <c r="AO77" i="16" s="1"/>
  <c r="AO78" i="16" s="1"/>
  <c r="AO79" i="16" s="1"/>
  <c r="AO80" i="16" s="1"/>
  <c r="AO81" i="16" s="1"/>
  <c r="AO82" i="16" s="1"/>
  <c r="AO83" i="16" s="1"/>
  <c r="AO84" i="16" s="1"/>
  <c r="AO85" i="16" s="1"/>
  <c r="AO86" i="16" s="1"/>
  <c r="AO87" i="16" s="1"/>
  <c r="AO88" i="16" s="1"/>
  <c r="AO89" i="16" s="1"/>
  <c r="AO90" i="16" s="1"/>
  <c r="AO91" i="16" s="1"/>
  <c r="AO92" i="16" s="1"/>
  <c r="AO93" i="16" s="1"/>
  <c r="AO94" i="16" s="1"/>
  <c r="AO95" i="16" s="1"/>
  <c r="AO96" i="16" s="1"/>
  <c r="AO97" i="16" s="1"/>
  <c r="AO98" i="16" s="1"/>
  <c r="AO99" i="16" s="1"/>
  <c r="AO100" i="16" s="1"/>
  <c r="AO101" i="16" s="1"/>
  <c r="AO102" i="16" s="1"/>
  <c r="AO103" i="16" s="1"/>
  <c r="AO104" i="16" s="1"/>
  <c r="AO105" i="16" s="1"/>
  <c r="AO106" i="16" s="1"/>
  <c r="AO107" i="16" s="1"/>
  <c r="AO108" i="16" s="1"/>
  <c r="AO109" i="16" s="1"/>
  <c r="AO110" i="16" s="1"/>
  <c r="AO111" i="16" s="1"/>
  <c r="AO112" i="16" s="1"/>
  <c r="AO113" i="16" s="1"/>
  <c r="AO114" i="16" s="1"/>
  <c r="AO115" i="16" s="1"/>
  <c r="AO116" i="16" s="1"/>
  <c r="AO117" i="16" s="1"/>
  <c r="AO118" i="16" s="1"/>
  <c r="AO119" i="16" s="1"/>
  <c r="AO120" i="16" s="1"/>
  <c r="AO121" i="16" s="1"/>
  <c r="AO122" i="16" s="1"/>
  <c r="AO123" i="16" s="1"/>
  <c r="AO124" i="16" s="1"/>
  <c r="AO125" i="16" s="1"/>
  <c r="AO126" i="16" s="1"/>
  <c r="AO127" i="16" s="1"/>
  <c r="AO128" i="16" s="1"/>
  <c r="AN15" i="16"/>
  <c r="AN16" i="16" s="1"/>
  <c r="AP13" i="16"/>
  <c r="AO13" i="16"/>
  <c r="AN13" i="16"/>
  <c r="AQ13" i="16" s="1"/>
  <c r="AP12" i="16"/>
  <c r="AO12" i="16"/>
  <c r="AN12" i="16"/>
  <c r="AQ12" i="16" s="1"/>
  <c r="AP11" i="16"/>
  <c r="AO11" i="16"/>
  <c r="AN11" i="16"/>
  <c r="AQ11" i="16" s="1"/>
  <c r="AP10" i="16"/>
  <c r="AO10" i="16"/>
  <c r="AP9" i="16"/>
  <c r="AO9" i="16"/>
  <c r="AP8" i="16"/>
  <c r="AO8" i="16"/>
  <c r="AP7" i="16"/>
  <c r="AO7" i="16"/>
  <c r="AP6" i="16"/>
  <c r="AO6" i="16"/>
  <c r="AP5" i="16"/>
  <c r="AO5" i="16"/>
  <c r="AP4" i="16"/>
  <c r="AO4" i="16"/>
  <c r="S149" i="16"/>
  <c r="S150" i="16"/>
  <c r="S151" i="16"/>
  <c r="S152" i="16"/>
  <c r="S153" i="16"/>
  <c r="S154" i="16"/>
  <c r="S155" i="16"/>
  <c r="S156" i="16"/>
  <c r="S157" i="16"/>
  <c r="S158" i="16"/>
  <c r="S159" i="16"/>
  <c r="S160" i="16"/>
  <c r="S161" i="16"/>
  <c r="S162" i="16"/>
  <c r="S163" i="16"/>
  <c r="S164" i="16"/>
  <c r="S165" i="16"/>
  <c r="S166" i="16"/>
  <c r="S167" i="16"/>
  <c r="S168" i="16"/>
  <c r="S169" i="16"/>
  <c r="S170" i="16"/>
  <c r="S171" i="16"/>
  <c r="S172" i="16"/>
  <c r="S173" i="16"/>
  <c r="S174" i="16"/>
  <c r="S175" i="16"/>
  <c r="S176" i="16"/>
  <c r="S177" i="16"/>
  <c r="S178" i="16"/>
  <c r="S179" i="16"/>
  <c r="S180" i="16"/>
  <c r="S181" i="16"/>
  <c r="S182" i="16"/>
  <c r="S183" i="16"/>
  <c r="S184" i="16"/>
  <c r="S185" i="16"/>
  <c r="S186" i="16"/>
  <c r="S187" i="16"/>
  <c r="S188" i="16"/>
  <c r="S189" i="16"/>
  <c r="S190" i="16"/>
  <c r="S191" i="16"/>
  <c r="S192" i="16"/>
  <c r="S193" i="16"/>
  <c r="S194" i="16"/>
  <c r="S195" i="16"/>
  <c r="S196" i="16"/>
  <c r="S197" i="16"/>
  <c r="S198" i="16"/>
  <c r="S199" i="16"/>
  <c r="S200" i="16"/>
  <c r="Y149" i="16"/>
  <c r="Y150" i="16"/>
  <c r="Y151" i="16"/>
  <c r="Y152" i="16"/>
  <c r="Y153" i="16"/>
  <c r="Y154" i="16"/>
  <c r="Y155" i="16"/>
  <c r="Y156" i="16"/>
  <c r="Y157" i="16"/>
  <c r="Y158" i="16"/>
  <c r="Y159" i="16"/>
  <c r="Y160" i="16"/>
  <c r="Y161" i="16"/>
  <c r="Y162" i="16"/>
  <c r="Y163" i="16"/>
  <c r="Y164" i="16"/>
  <c r="Y165" i="16"/>
  <c r="Y166" i="16"/>
  <c r="Y167" i="16"/>
  <c r="Y168" i="16"/>
  <c r="Y169" i="16"/>
  <c r="Y170" i="16"/>
  <c r="Y171" i="16"/>
  <c r="Y172" i="16"/>
  <c r="Y173" i="16"/>
  <c r="Y174" i="16"/>
  <c r="Y175" i="16"/>
  <c r="Y176" i="16"/>
  <c r="Y177" i="16"/>
  <c r="Y178" i="16"/>
  <c r="Y179" i="16"/>
  <c r="Y180" i="16"/>
  <c r="Y181" i="16"/>
  <c r="Y182" i="16"/>
  <c r="Y183" i="16"/>
  <c r="Y184" i="16"/>
  <c r="Y185" i="16"/>
  <c r="Y186" i="16"/>
  <c r="Y187" i="16"/>
  <c r="Y188" i="16"/>
  <c r="Y189" i="16"/>
  <c r="Y190" i="16"/>
  <c r="Y191" i="16"/>
  <c r="Y192" i="16"/>
  <c r="Y193" i="16"/>
  <c r="Y194" i="16"/>
  <c r="Y195" i="16"/>
  <c r="Y196" i="16"/>
  <c r="Y197" i="16"/>
  <c r="Y198" i="16"/>
  <c r="Y199" i="16"/>
  <c r="Y200" i="16"/>
  <c r="AE149" i="16"/>
  <c r="AE150" i="16"/>
  <c r="AE151" i="16"/>
  <c r="AE152" i="16"/>
  <c r="AE153" i="16"/>
  <c r="AE154" i="16"/>
  <c r="AE155" i="16"/>
  <c r="AE156" i="16"/>
  <c r="AE157" i="16"/>
  <c r="AE158" i="16"/>
  <c r="AE159" i="16"/>
  <c r="AE160" i="16"/>
  <c r="AE161" i="16"/>
  <c r="AE162" i="16"/>
  <c r="AE163" i="16"/>
  <c r="AE164" i="16"/>
  <c r="AE165" i="16"/>
  <c r="AE166" i="16"/>
  <c r="AE167" i="16"/>
  <c r="AE168" i="16"/>
  <c r="AE169" i="16"/>
  <c r="AE170" i="16"/>
  <c r="AE171" i="16"/>
  <c r="AE172" i="16"/>
  <c r="AE173" i="16"/>
  <c r="AE174" i="16"/>
  <c r="AE175" i="16"/>
  <c r="AE176" i="16"/>
  <c r="AE177" i="16"/>
  <c r="AE178" i="16"/>
  <c r="AE179" i="16"/>
  <c r="AE180" i="16"/>
  <c r="AE181" i="16"/>
  <c r="AE182" i="16"/>
  <c r="AE183" i="16"/>
  <c r="AE184" i="16"/>
  <c r="AE185" i="16"/>
  <c r="AE186" i="16"/>
  <c r="AE187" i="16"/>
  <c r="AE188" i="16"/>
  <c r="AE189" i="16"/>
  <c r="AE190" i="16"/>
  <c r="AE191" i="16"/>
  <c r="AE192" i="16"/>
  <c r="AE193" i="16"/>
  <c r="AE194" i="16"/>
  <c r="AE195" i="16"/>
  <c r="AE196" i="16"/>
  <c r="AE197" i="16"/>
  <c r="AE198" i="16"/>
  <c r="AE199" i="16"/>
  <c r="AE200" i="16"/>
  <c r="AK149" i="16"/>
  <c r="AK150" i="16"/>
  <c r="AK151" i="16"/>
  <c r="AK152" i="16"/>
  <c r="AI153" i="16"/>
  <c r="AI154" i="16" s="1"/>
  <c r="AI155" i="16" s="1"/>
  <c r="AI156" i="16" s="1"/>
  <c r="AI157" i="16" s="1"/>
  <c r="AI158" i="16" s="1"/>
  <c r="AK153" i="16"/>
  <c r="AK154" i="16"/>
  <c r="AK155" i="16"/>
  <c r="AK156" i="16"/>
  <c r="AK157" i="16"/>
  <c r="AK158" i="16"/>
  <c r="AI159" i="16"/>
  <c r="AI160" i="16" s="1"/>
  <c r="AI161" i="16" s="1"/>
  <c r="AI162" i="16" s="1"/>
  <c r="AI163" i="16" s="1"/>
  <c r="AI164" i="16" s="1"/>
  <c r="AI165" i="16" s="1"/>
  <c r="AI166" i="16" s="1"/>
  <c r="AI167" i="16" s="1"/>
  <c r="AI168" i="16" s="1"/>
  <c r="AI169" i="16" s="1"/>
  <c r="AI170" i="16" s="1"/>
  <c r="AI171" i="16" s="1"/>
  <c r="AI172" i="16" s="1"/>
  <c r="AI173" i="16" s="1"/>
  <c r="AI174" i="16" s="1"/>
  <c r="AI175" i="16" s="1"/>
  <c r="AI176" i="16" s="1"/>
  <c r="AI177" i="16" s="1"/>
  <c r="AI178" i="16" s="1"/>
  <c r="AI179" i="16" s="1"/>
  <c r="AI180" i="16" s="1"/>
  <c r="AI181" i="16" s="1"/>
  <c r="AI182" i="16" s="1"/>
  <c r="AI183" i="16" s="1"/>
  <c r="AI184" i="16" s="1"/>
  <c r="AI185" i="16" s="1"/>
  <c r="AI186" i="16" s="1"/>
  <c r="AI187" i="16" s="1"/>
  <c r="AI188" i="16" s="1"/>
  <c r="AI189" i="16" s="1"/>
  <c r="AI190" i="16" s="1"/>
  <c r="AI191" i="16" s="1"/>
  <c r="AI192" i="16" s="1"/>
  <c r="AI193" i="16" s="1"/>
  <c r="AI194" i="16" s="1"/>
  <c r="AI195" i="16" s="1"/>
  <c r="AI196" i="16" s="1"/>
  <c r="AI197" i="16" s="1"/>
  <c r="AI198" i="16" s="1"/>
  <c r="AI199" i="16" s="1"/>
  <c r="AI200" i="16" s="1"/>
  <c r="AI201" i="16" s="1"/>
  <c r="AI202" i="16" s="1"/>
  <c r="AI203" i="16" s="1"/>
  <c r="AI204" i="16" s="1"/>
  <c r="AI205" i="16" s="1"/>
  <c r="AI206" i="16" s="1"/>
  <c r="AI207" i="16" s="1"/>
  <c r="AI208" i="16" s="1"/>
  <c r="AI209" i="16" s="1"/>
  <c r="AI210" i="16" s="1"/>
  <c r="AI211" i="16" s="1"/>
  <c r="AI212" i="16" s="1"/>
  <c r="AI213" i="16" s="1"/>
  <c r="AI214" i="16" s="1"/>
  <c r="AI215" i="16" s="1"/>
  <c r="AI216" i="16" s="1"/>
  <c r="AI217" i="16" s="1"/>
  <c r="AI218" i="16" s="1"/>
  <c r="AI219" i="16" s="1"/>
  <c r="AI220" i="16" s="1"/>
  <c r="AI221" i="16" s="1"/>
  <c r="AI222" i="16" s="1"/>
  <c r="AI223" i="16" s="1"/>
  <c r="AI224" i="16" s="1"/>
  <c r="AI225" i="16" s="1"/>
  <c r="AI226" i="16" s="1"/>
  <c r="AI227" i="16" s="1"/>
  <c r="AI228" i="16" s="1"/>
  <c r="AI229" i="16" s="1"/>
  <c r="AI230" i="16" s="1"/>
  <c r="AK159" i="16"/>
  <c r="AK160" i="16"/>
  <c r="AK161" i="16"/>
  <c r="AK162" i="16"/>
  <c r="AK163" i="16"/>
  <c r="AK164" i="16"/>
  <c r="AK165" i="16"/>
  <c r="AK166" i="16"/>
  <c r="AK167" i="16"/>
  <c r="AK168" i="16"/>
  <c r="AK169" i="16"/>
  <c r="AK170" i="16"/>
  <c r="AK171" i="16"/>
  <c r="AK172" i="16"/>
  <c r="AK173" i="16"/>
  <c r="AK174" i="16"/>
  <c r="AK175" i="16"/>
  <c r="AK176" i="16"/>
  <c r="AK177" i="16"/>
  <c r="AK178" i="16"/>
  <c r="AK179" i="16"/>
  <c r="AK180" i="16"/>
  <c r="AK181" i="16"/>
  <c r="AK182" i="16"/>
  <c r="AK183" i="16"/>
  <c r="AK184" i="16"/>
  <c r="AK185" i="16"/>
  <c r="AK186" i="16"/>
  <c r="AK187" i="16"/>
  <c r="AK188" i="16"/>
  <c r="AK189" i="16"/>
  <c r="AK190" i="16"/>
  <c r="AK191" i="16"/>
  <c r="AK192" i="16"/>
  <c r="AK193" i="16"/>
  <c r="AK194" i="16"/>
  <c r="AK195" i="16"/>
  <c r="AK196" i="16"/>
  <c r="AK197" i="16"/>
  <c r="AK198" i="16"/>
  <c r="AK199" i="16"/>
  <c r="AK200" i="16"/>
  <c r="AK26" i="16"/>
  <c r="AK27" i="16"/>
  <c r="AK28" i="16"/>
  <c r="AK29" i="16"/>
  <c r="AK34" i="16"/>
  <c r="AK35" i="16"/>
  <c r="AK37" i="16"/>
  <c r="AK38" i="16"/>
  <c r="AK49" i="16"/>
  <c r="AK59" i="16"/>
  <c r="AK60" i="16"/>
  <c r="AK61" i="16"/>
  <c r="AK62" i="16"/>
  <c r="AK78" i="16"/>
  <c r="AK79" i="16"/>
  <c r="AK80" i="16"/>
  <c r="AK81" i="16"/>
  <c r="AK82" i="16"/>
  <c r="AK86" i="16"/>
  <c r="AK87" i="16"/>
  <c r="AK89" i="16"/>
  <c r="AK105" i="16"/>
  <c r="AK106" i="16"/>
  <c r="AK107" i="16"/>
  <c r="AK111" i="16"/>
  <c r="AK112" i="16"/>
  <c r="AK113" i="16"/>
  <c r="AK133" i="16"/>
  <c r="AK134" i="16"/>
  <c r="AK135" i="16"/>
  <c r="AK136" i="16"/>
  <c r="AK148" i="16"/>
  <c r="AK147" i="16"/>
  <c r="AK146" i="16"/>
  <c r="AK145" i="16"/>
  <c r="AK144" i="16"/>
  <c r="AK143" i="16"/>
  <c r="AK142" i="16"/>
  <c r="AK141" i="16"/>
  <c r="AK140" i="16"/>
  <c r="AK139" i="16"/>
  <c r="AK138" i="16"/>
  <c r="AK137" i="16"/>
  <c r="AK132" i="16"/>
  <c r="AK131" i="16"/>
  <c r="AK130" i="16"/>
  <c r="AK129" i="16"/>
  <c r="AK128" i="16"/>
  <c r="AK127" i="16"/>
  <c r="AK126" i="16"/>
  <c r="AK125" i="16"/>
  <c r="AK124" i="16"/>
  <c r="AK123" i="16"/>
  <c r="AK122" i="16"/>
  <c r="AK121" i="16"/>
  <c r="AK120" i="16"/>
  <c r="AK119" i="16"/>
  <c r="AK118" i="16"/>
  <c r="AK117" i="16"/>
  <c r="AK116" i="16"/>
  <c r="AK115" i="16"/>
  <c r="AK114" i="16"/>
  <c r="AK110" i="16"/>
  <c r="AK109" i="16"/>
  <c r="AK108" i="16"/>
  <c r="AK104" i="16"/>
  <c r="AK103" i="16"/>
  <c r="AK102" i="16"/>
  <c r="AK101" i="16"/>
  <c r="AK100" i="16"/>
  <c r="AK99" i="16"/>
  <c r="AK98" i="16"/>
  <c r="AK97" i="16"/>
  <c r="AK96" i="16"/>
  <c r="AK95" i="16"/>
  <c r="AK94" i="16"/>
  <c r="AK93" i="16"/>
  <c r="AK92" i="16"/>
  <c r="AK91" i="16"/>
  <c r="AK90" i="16"/>
  <c r="AK88" i="16"/>
  <c r="AK85" i="16"/>
  <c r="AK84" i="16"/>
  <c r="AK83" i="16"/>
  <c r="AK77" i="16"/>
  <c r="AK76" i="16"/>
  <c r="AK75" i="16"/>
  <c r="AK74" i="16"/>
  <c r="AK73" i="16"/>
  <c r="AK72" i="16"/>
  <c r="AK71" i="16"/>
  <c r="AK70" i="16"/>
  <c r="AK69" i="16"/>
  <c r="AK68" i="16"/>
  <c r="AK67" i="16"/>
  <c r="AK66" i="16"/>
  <c r="AK65" i="16"/>
  <c r="AK64" i="16"/>
  <c r="AK63" i="16"/>
  <c r="AK58" i="16"/>
  <c r="AK57" i="16"/>
  <c r="AK56" i="16"/>
  <c r="AK55" i="16"/>
  <c r="AK54" i="16"/>
  <c r="AK53" i="16"/>
  <c r="AK52" i="16"/>
  <c r="AK51" i="16"/>
  <c r="AK50" i="16"/>
  <c r="AK48" i="16"/>
  <c r="AK47" i="16"/>
  <c r="AK46" i="16"/>
  <c r="AK45" i="16"/>
  <c r="AK44" i="16"/>
  <c r="AK43" i="16"/>
  <c r="AK42" i="16"/>
  <c r="AK41" i="16"/>
  <c r="AK40" i="16"/>
  <c r="AK39" i="16"/>
  <c r="AK36" i="16"/>
  <c r="AK33" i="16"/>
  <c r="AK32" i="16"/>
  <c r="AK31" i="16"/>
  <c r="AK30" i="16"/>
  <c r="AK25" i="16"/>
  <c r="AK24" i="16"/>
  <c r="AK23" i="16"/>
  <c r="AK22" i="16"/>
  <c r="AK21" i="16"/>
  <c r="AK20" i="16"/>
  <c r="AK19" i="16"/>
  <c r="AK18" i="16"/>
  <c r="AK17" i="16"/>
  <c r="AK16" i="16"/>
  <c r="AK15" i="16"/>
  <c r="AI15" i="16"/>
  <c r="AI16" i="16" s="1"/>
  <c r="AI17" i="16" s="1"/>
  <c r="AI18" i="16" s="1"/>
  <c r="AI19" i="16" s="1"/>
  <c r="AI20" i="16" s="1"/>
  <c r="AI21" i="16" s="1"/>
  <c r="AI22" i="16" s="1"/>
  <c r="AI23" i="16" s="1"/>
  <c r="AI24" i="16" s="1"/>
  <c r="AI25" i="16" s="1"/>
  <c r="AI26" i="16" s="1"/>
  <c r="AI27" i="16" s="1"/>
  <c r="AI28" i="16" s="1"/>
  <c r="AI29" i="16" s="1"/>
  <c r="AI30" i="16" s="1"/>
  <c r="AI31" i="16" s="1"/>
  <c r="AI32" i="16" s="1"/>
  <c r="AI33" i="16" s="1"/>
  <c r="AI34" i="16" s="1"/>
  <c r="AI35" i="16" s="1"/>
  <c r="AI36" i="16" s="1"/>
  <c r="AI37" i="16" s="1"/>
  <c r="AI38" i="16" s="1"/>
  <c r="AI39" i="16" s="1"/>
  <c r="AI40" i="16" s="1"/>
  <c r="AI41" i="16" s="1"/>
  <c r="AI42" i="16" s="1"/>
  <c r="AI43" i="16" s="1"/>
  <c r="AI44" i="16" s="1"/>
  <c r="AI45" i="16" s="1"/>
  <c r="AI46" i="16" s="1"/>
  <c r="AI47" i="16" s="1"/>
  <c r="AI48" i="16" s="1"/>
  <c r="AI49" i="16" s="1"/>
  <c r="AI50" i="16" s="1"/>
  <c r="AI51" i="16" s="1"/>
  <c r="AI52" i="16" s="1"/>
  <c r="AI53" i="16" s="1"/>
  <c r="AI54" i="16" s="1"/>
  <c r="AI55" i="16" s="1"/>
  <c r="AI56" i="16" s="1"/>
  <c r="AI57" i="16" s="1"/>
  <c r="AI58" i="16" s="1"/>
  <c r="AI59" i="16" s="1"/>
  <c r="AI60" i="16" s="1"/>
  <c r="AI61" i="16" s="1"/>
  <c r="AI62" i="16" s="1"/>
  <c r="AI63" i="16" s="1"/>
  <c r="AI64" i="16" s="1"/>
  <c r="AI65" i="16" s="1"/>
  <c r="AI66" i="16" s="1"/>
  <c r="AI67" i="16" s="1"/>
  <c r="AI68" i="16" s="1"/>
  <c r="AI69" i="16" s="1"/>
  <c r="AI70" i="16" s="1"/>
  <c r="AI71" i="16" s="1"/>
  <c r="AI72" i="16" s="1"/>
  <c r="AI73" i="16" s="1"/>
  <c r="AI74" i="16" s="1"/>
  <c r="AI75" i="16" s="1"/>
  <c r="AI76" i="16" s="1"/>
  <c r="AI77" i="16" s="1"/>
  <c r="AI78" i="16" s="1"/>
  <c r="AI79" i="16" s="1"/>
  <c r="AI80" i="16" s="1"/>
  <c r="AI81" i="16" s="1"/>
  <c r="AI82" i="16" s="1"/>
  <c r="AI83" i="16" s="1"/>
  <c r="AI84" i="16" s="1"/>
  <c r="AI85" i="16" s="1"/>
  <c r="AI86" i="16" s="1"/>
  <c r="AI87" i="16" s="1"/>
  <c r="AI88" i="16" s="1"/>
  <c r="AI89" i="16" s="1"/>
  <c r="AI90" i="16" s="1"/>
  <c r="AI91" i="16" s="1"/>
  <c r="AI92" i="16" s="1"/>
  <c r="AI93" i="16" s="1"/>
  <c r="AI94" i="16" s="1"/>
  <c r="AI95" i="16" s="1"/>
  <c r="AI96" i="16" s="1"/>
  <c r="AI97" i="16" s="1"/>
  <c r="AI98" i="16" s="1"/>
  <c r="AI99" i="16" s="1"/>
  <c r="AI100" i="16" s="1"/>
  <c r="AI101" i="16" s="1"/>
  <c r="AI102" i="16" s="1"/>
  <c r="AI103" i="16" s="1"/>
  <c r="AI104" i="16" s="1"/>
  <c r="AI105" i="16" s="1"/>
  <c r="AI106" i="16" s="1"/>
  <c r="AI107" i="16" s="1"/>
  <c r="AI108" i="16" s="1"/>
  <c r="AI109" i="16" s="1"/>
  <c r="AI110" i="16" s="1"/>
  <c r="AI111" i="16" s="1"/>
  <c r="AI112" i="16" s="1"/>
  <c r="AI113" i="16" s="1"/>
  <c r="AI114" i="16" s="1"/>
  <c r="AI115" i="16" s="1"/>
  <c r="AI116" i="16" s="1"/>
  <c r="AI117" i="16" s="1"/>
  <c r="AI118" i="16" s="1"/>
  <c r="AI119" i="16" s="1"/>
  <c r="AI120" i="16" s="1"/>
  <c r="AI121" i="16" s="1"/>
  <c r="AI122" i="16" s="1"/>
  <c r="AI123" i="16" s="1"/>
  <c r="AI124" i="16" s="1"/>
  <c r="AI125" i="16" s="1"/>
  <c r="AI126" i="16" s="1"/>
  <c r="AI127" i="16" s="1"/>
  <c r="AI128" i="16" s="1"/>
  <c r="AI129" i="16" s="1"/>
  <c r="AI130" i="16" s="1"/>
  <c r="AI131" i="16" s="1"/>
  <c r="AI132" i="16" s="1"/>
  <c r="AI133" i="16" s="1"/>
  <c r="AI134" i="16" s="1"/>
  <c r="AI135" i="16" s="1"/>
  <c r="AI136" i="16" s="1"/>
  <c r="AI137" i="16" s="1"/>
  <c r="AI138" i="16" s="1"/>
  <c r="AI139" i="16" s="1"/>
  <c r="AI140" i="16" s="1"/>
  <c r="AI141" i="16" s="1"/>
  <c r="AI142" i="16" s="1"/>
  <c r="AI143" i="16" s="1"/>
  <c r="AI144" i="16" s="1"/>
  <c r="AI145" i="16" s="1"/>
  <c r="AI146" i="16" s="1"/>
  <c r="AI147" i="16" s="1"/>
  <c r="AI148" i="16" s="1"/>
  <c r="AI149" i="16" s="1"/>
  <c r="AI150" i="16" s="1"/>
  <c r="AI151" i="16" s="1"/>
  <c r="AI152" i="16" s="1"/>
  <c r="AH15" i="16"/>
  <c r="AH16" i="16" s="1"/>
  <c r="AJ13" i="16"/>
  <c r="AI13" i="16"/>
  <c r="AH13" i="16"/>
  <c r="AK13" i="16" s="1"/>
  <c r="AJ12" i="16"/>
  <c r="AI12" i="16"/>
  <c r="AH12" i="16"/>
  <c r="AK12" i="16" s="1"/>
  <c r="AJ11" i="16"/>
  <c r="AI11" i="16"/>
  <c r="AH11" i="16"/>
  <c r="AK11" i="16" s="1"/>
  <c r="AJ10" i="16"/>
  <c r="AI10" i="16"/>
  <c r="AH10" i="16"/>
  <c r="AK10" i="16" s="1"/>
  <c r="AJ9" i="16"/>
  <c r="AI9" i="16"/>
  <c r="AJ8" i="16"/>
  <c r="AI8" i="16"/>
  <c r="AJ7" i="16"/>
  <c r="AI7" i="16"/>
  <c r="AJ6" i="16"/>
  <c r="AI6" i="16"/>
  <c r="AJ5" i="16"/>
  <c r="AI5" i="16"/>
  <c r="AJ4" i="16"/>
  <c r="AI4" i="16"/>
  <c r="AE30" i="16"/>
  <c r="AE31" i="16"/>
  <c r="AE32" i="16"/>
  <c r="AE50" i="16"/>
  <c r="AE51" i="16"/>
  <c r="AE52" i="16"/>
  <c r="AE53" i="16"/>
  <c r="AE54" i="16"/>
  <c r="AE74" i="16"/>
  <c r="AE75" i="16"/>
  <c r="AE76" i="16"/>
  <c r="AE77" i="16"/>
  <c r="AE78" i="16"/>
  <c r="AE96" i="16"/>
  <c r="AE97" i="16"/>
  <c r="AE117" i="16"/>
  <c r="AE118" i="16"/>
  <c r="AE119" i="16"/>
  <c r="AE148" i="16"/>
  <c r="AE147" i="16"/>
  <c r="AE146" i="16"/>
  <c r="AE145" i="16"/>
  <c r="AE144" i="16"/>
  <c r="AE143" i="16"/>
  <c r="AE142" i="16"/>
  <c r="AE141" i="16"/>
  <c r="AE140" i="16"/>
  <c r="AE139" i="16"/>
  <c r="AE138" i="16"/>
  <c r="AE137" i="16"/>
  <c r="AE136" i="16"/>
  <c r="AE135" i="16"/>
  <c r="AE134" i="16"/>
  <c r="AE133" i="16"/>
  <c r="AE132" i="16"/>
  <c r="AE131" i="16"/>
  <c r="AE130" i="16"/>
  <c r="AE129" i="16"/>
  <c r="AE128" i="16"/>
  <c r="AE127" i="16"/>
  <c r="AE126" i="16"/>
  <c r="AE125" i="16"/>
  <c r="AE124" i="16"/>
  <c r="AE123" i="16"/>
  <c r="AE122" i="16"/>
  <c r="AE121" i="16"/>
  <c r="AE120" i="16"/>
  <c r="AE116" i="16"/>
  <c r="AE115" i="16"/>
  <c r="AE114" i="16"/>
  <c r="AE113" i="16"/>
  <c r="AE112" i="16"/>
  <c r="AE111" i="16"/>
  <c r="AE110" i="16"/>
  <c r="AE109" i="16"/>
  <c r="AE108" i="16"/>
  <c r="AE107" i="16"/>
  <c r="AE106" i="16"/>
  <c r="AE105" i="16"/>
  <c r="AE104" i="16"/>
  <c r="AE103" i="16"/>
  <c r="AE102" i="16"/>
  <c r="AE101" i="16"/>
  <c r="AE100" i="16"/>
  <c r="AE99" i="16"/>
  <c r="AE98" i="16"/>
  <c r="AE95" i="16"/>
  <c r="AE94" i="16"/>
  <c r="AE93" i="16"/>
  <c r="AE92" i="16"/>
  <c r="AE91" i="16"/>
  <c r="AE90" i="16"/>
  <c r="AE89" i="16"/>
  <c r="AE88" i="16"/>
  <c r="AE87" i="16"/>
  <c r="AE86" i="16"/>
  <c r="AE85" i="16"/>
  <c r="AE84" i="16"/>
  <c r="AE83" i="16"/>
  <c r="AE82" i="16"/>
  <c r="AE81" i="16"/>
  <c r="AE80" i="16"/>
  <c r="AE79" i="16"/>
  <c r="AE73" i="16"/>
  <c r="AE72" i="16"/>
  <c r="AE71" i="16"/>
  <c r="AE70" i="16"/>
  <c r="AE69" i="16"/>
  <c r="AE68" i="16"/>
  <c r="AE67" i="16"/>
  <c r="AE66" i="16"/>
  <c r="AE65" i="16"/>
  <c r="AE64" i="16"/>
  <c r="AE63" i="16"/>
  <c r="AE62" i="16"/>
  <c r="AE61" i="16"/>
  <c r="AE60" i="16"/>
  <c r="AE59" i="16"/>
  <c r="AE58" i="16"/>
  <c r="AE57" i="16"/>
  <c r="AE56" i="16"/>
  <c r="AE55" i="16"/>
  <c r="AE49" i="16"/>
  <c r="AE48" i="16"/>
  <c r="AE47" i="16"/>
  <c r="AE46" i="16"/>
  <c r="AE45" i="16"/>
  <c r="AE44" i="16"/>
  <c r="AE43" i="16"/>
  <c r="AE42" i="16"/>
  <c r="AE41" i="16"/>
  <c r="AE40" i="16"/>
  <c r="AE39" i="16"/>
  <c r="AE38" i="16"/>
  <c r="AE37" i="16"/>
  <c r="AE36" i="16"/>
  <c r="AE35" i="16"/>
  <c r="AE34" i="16"/>
  <c r="AE33" i="16"/>
  <c r="AE29" i="16"/>
  <c r="AE28" i="16"/>
  <c r="AE27" i="16"/>
  <c r="AE26" i="16"/>
  <c r="AE25" i="16"/>
  <c r="AE24" i="16"/>
  <c r="AE23" i="16"/>
  <c r="AE22" i="16"/>
  <c r="AE21" i="16"/>
  <c r="AE20" i="16"/>
  <c r="AE19" i="16"/>
  <c r="AE18" i="16"/>
  <c r="AE17" i="16"/>
  <c r="AB17" i="16"/>
  <c r="AB18" i="16" s="1"/>
  <c r="AE16" i="16"/>
  <c r="AE15" i="16"/>
  <c r="AC15" i="16"/>
  <c r="AC16" i="16" s="1"/>
  <c r="AC17" i="16" s="1"/>
  <c r="AC18" i="16" s="1"/>
  <c r="AC19" i="16" s="1"/>
  <c r="AC20" i="16" s="1"/>
  <c r="AC21" i="16" s="1"/>
  <c r="AC22" i="16" s="1"/>
  <c r="AC23" i="16" s="1"/>
  <c r="AC24" i="16" s="1"/>
  <c r="AC25" i="16" s="1"/>
  <c r="AC26" i="16" s="1"/>
  <c r="AC27" i="16" s="1"/>
  <c r="AC28" i="16" s="1"/>
  <c r="AC29" i="16" s="1"/>
  <c r="AC30" i="16" s="1"/>
  <c r="AC31" i="16" s="1"/>
  <c r="AC32" i="16" s="1"/>
  <c r="AC33" i="16" s="1"/>
  <c r="AC34" i="16" s="1"/>
  <c r="AC35" i="16" s="1"/>
  <c r="AC36" i="16" s="1"/>
  <c r="AC37" i="16" s="1"/>
  <c r="AC38" i="16" s="1"/>
  <c r="AC39" i="16" s="1"/>
  <c r="AC40" i="16" s="1"/>
  <c r="AC41" i="16" s="1"/>
  <c r="AC42" i="16" s="1"/>
  <c r="AC43" i="16" s="1"/>
  <c r="AC44" i="16" s="1"/>
  <c r="AC45" i="16" s="1"/>
  <c r="AC46" i="16" s="1"/>
  <c r="AC47" i="16" s="1"/>
  <c r="AC48" i="16" s="1"/>
  <c r="AC49" i="16" s="1"/>
  <c r="AC50" i="16" s="1"/>
  <c r="AC51" i="16" s="1"/>
  <c r="AC52" i="16" s="1"/>
  <c r="AC53" i="16" s="1"/>
  <c r="AC54" i="16" s="1"/>
  <c r="AC55" i="16" s="1"/>
  <c r="AC56" i="16" s="1"/>
  <c r="AC57" i="16" s="1"/>
  <c r="AC58" i="16" s="1"/>
  <c r="AC59" i="16" s="1"/>
  <c r="AC60" i="16" s="1"/>
  <c r="AC61" i="16" s="1"/>
  <c r="AC62" i="16" s="1"/>
  <c r="AC63" i="16" s="1"/>
  <c r="AC64" i="16" s="1"/>
  <c r="AC65" i="16" s="1"/>
  <c r="AC66" i="16" s="1"/>
  <c r="AC67" i="16" s="1"/>
  <c r="AC68" i="16" s="1"/>
  <c r="AC69" i="16" s="1"/>
  <c r="AC70" i="16" s="1"/>
  <c r="AC71" i="16" s="1"/>
  <c r="AC72" i="16" s="1"/>
  <c r="AC73" i="16" s="1"/>
  <c r="AC74" i="16" s="1"/>
  <c r="AC75" i="16" s="1"/>
  <c r="AC76" i="16" s="1"/>
  <c r="AC77" i="16" s="1"/>
  <c r="AC78" i="16" s="1"/>
  <c r="AC79" i="16" s="1"/>
  <c r="AC80" i="16" s="1"/>
  <c r="AC81" i="16" s="1"/>
  <c r="AC82" i="16" s="1"/>
  <c r="AC83" i="16" s="1"/>
  <c r="AC84" i="16" s="1"/>
  <c r="AC85" i="16" s="1"/>
  <c r="AC86" i="16" s="1"/>
  <c r="AC87" i="16" s="1"/>
  <c r="AC88" i="16" s="1"/>
  <c r="AC89" i="16" s="1"/>
  <c r="AC90" i="16" s="1"/>
  <c r="AC91" i="16" s="1"/>
  <c r="AC92" i="16" s="1"/>
  <c r="AC93" i="16" s="1"/>
  <c r="AC94" i="16" s="1"/>
  <c r="AC95" i="16" s="1"/>
  <c r="AC96" i="16" s="1"/>
  <c r="AC97" i="16" s="1"/>
  <c r="AC98" i="16" s="1"/>
  <c r="AC99" i="16" s="1"/>
  <c r="AC100" i="16" s="1"/>
  <c r="AC101" i="16" s="1"/>
  <c r="AC102" i="16" s="1"/>
  <c r="AC103" i="16" s="1"/>
  <c r="AC104" i="16" s="1"/>
  <c r="AC105" i="16" s="1"/>
  <c r="AC106" i="16" s="1"/>
  <c r="AC107" i="16" s="1"/>
  <c r="AC108" i="16" s="1"/>
  <c r="AC109" i="16" s="1"/>
  <c r="AC110" i="16" s="1"/>
  <c r="AC111" i="16" s="1"/>
  <c r="AC112" i="16" s="1"/>
  <c r="AC113" i="16" s="1"/>
  <c r="AC114" i="16" s="1"/>
  <c r="AC115" i="16" s="1"/>
  <c r="AC116" i="16" s="1"/>
  <c r="AC117" i="16" s="1"/>
  <c r="AC118" i="16" s="1"/>
  <c r="AC119" i="16" s="1"/>
  <c r="AC120" i="16" s="1"/>
  <c r="AC121" i="16" s="1"/>
  <c r="AC122" i="16" s="1"/>
  <c r="AC123" i="16" s="1"/>
  <c r="AC124" i="16" s="1"/>
  <c r="AC125" i="16" s="1"/>
  <c r="AC126" i="16" s="1"/>
  <c r="AC127" i="16" s="1"/>
  <c r="AC128" i="16" s="1"/>
  <c r="AC129" i="16" s="1"/>
  <c r="AC130" i="16" s="1"/>
  <c r="AC131" i="16" s="1"/>
  <c r="AC132" i="16" s="1"/>
  <c r="AC133" i="16" s="1"/>
  <c r="AC134" i="16" s="1"/>
  <c r="AC135" i="16" s="1"/>
  <c r="AC136" i="16" s="1"/>
  <c r="AC137" i="16" s="1"/>
  <c r="AC138" i="16" s="1"/>
  <c r="AC139" i="16" s="1"/>
  <c r="AC140" i="16" s="1"/>
  <c r="AC141" i="16" s="1"/>
  <c r="AC142" i="16" s="1"/>
  <c r="AC143" i="16" s="1"/>
  <c r="AC144" i="16" s="1"/>
  <c r="AC145" i="16" s="1"/>
  <c r="AC146" i="16" s="1"/>
  <c r="AC147" i="16" s="1"/>
  <c r="AC148" i="16" s="1"/>
  <c r="AC149" i="16" s="1"/>
  <c r="AC150" i="16" s="1"/>
  <c r="AC151" i="16" s="1"/>
  <c r="AC152" i="16" s="1"/>
  <c r="AC153" i="16" s="1"/>
  <c r="AC154" i="16" s="1"/>
  <c r="AC155" i="16" s="1"/>
  <c r="AC156" i="16" s="1"/>
  <c r="AC157" i="16" s="1"/>
  <c r="AC158" i="16" s="1"/>
  <c r="AC159" i="16" s="1"/>
  <c r="AC160" i="16" s="1"/>
  <c r="AC161" i="16" s="1"/>
  <c r="AC162" i="16" s="1"/>
  <c r="AC163" i="16" s="1"/>
  <c r="AC164" i="16" s="1"/>
  <c r="AC165" i="16" s="1"/>
  <c r="AC166" i="16" s="1"/>
  <c r="AC167" i="16" s="1"/>
  <c r="AC168" i="16" s="1"/>
  <c r="AC169" i="16" s="1"/>
  <c r="AC170" i="16" s="1"/>
  <c r="AC171" i="16" s="1"/>
  <c r="AC172" i="16" s="1"/>
  <c r="AC173" i="16" s="1"/>
  <c r="AC174" i="16" s="1"/>
  <c r="AC175" i="16" s="1"/>
  <c r="AC176" i="16" s="1"/>
  <c r="AC177" i="16" s="1"/>
  <c r="AC178" i="16" s="1"/>
  <c r="AC179" i="16" s="1"/>
  <c r="AC180" i="16" s="1"/>
  <c r="AC181" i="16" s="1"/>
  <c r="AC182" i="16" s="1"/>
  <c r="AC183" i="16" s="1"/>
  <c r="AC184" i="16" s="1"/>
  <c r="AC185" i="16" s="1"/>
  <c r="AC186" i="16" s="1"/>
  <c r="AC187" i="16" s="1"/>
  <c r="AC188" i="16" s="1"/>
  <c r="AC189" i="16" s="1"/>
  <c r="AC190" i="16" s="1"/>
  <c r="AC191" i="16" s="1"/>
  <c r="AC192" i="16" s="1"/>
  <c r="AC193" i="16" s="1"/>
  <c r="AC194" i="16" s="1"/>
  <c r="AC195" i="16" s="1"/>
  <c r="AC196" i="16" s="1"/>
  <c r="AC197" i="16" s="1"/>
  <c r="AC198" i="16" s="1"/>
  <c r="AC199" i="16" s="1"/>
  <c r="AC200" i="16" s="1"/>
  <c r="AC201" i="16" s="1"/>
  <c r="AC202" i="16" s="1"/>
  <c r="AC203" i="16" s="1"/>
  <c r="AC204" i="16" s="1"/>
  <c r="AC205" i="16" s="1"/>
  <c r="AC206" i="16" s="1"/>
  <c r="AC207" i="16" s="1"/>
  <c r="AC208" i="16" s="1"/>
  <c r="AC209" i="16" s="1"/>
  <c r="AC210" i="16" s="1"/>
  <c r="AC211" i="16" s="1"/>
  <c r="AC212" i="16" s="1"/>
  <c r="AC213" i="16" s="1"/>
  <c r="AC214" i="16" s="1"/>
  <c r="AC215" i="16" s="1"/>
  <c r="AC216" i="16" s="1"/>
  <c r="AC217" i="16" s="1"/>
  <c r="AC218" i="16" s="1"/>
  <c r="AC219" i="16" s="1"/>
  <c r="AC220" i="16" s="1"/>
  <c r="AC221" i="16" s="1"/>
  <c r="AC222" i="16" s="1"/>
  <c r="AC223" i="16" s="1"/>
  <c r="AC224" i="16" s="1"/>
  <c r="AC225" i="16" s="1"/>
  <c r="AC226" i="16" s="1"/>
  <c r="AC227" i="16" s="1"/>
  <c r="AC228" i="16" s="1"/>
  <c r="AC229" i="16" s="1"/>
  <c r="AC230" i="16" s="1"/>
  <c r="AB15" i="16"/>
  <c r="AB16" i="16" s="1"/>
  <c r="AD13" i="16"/>
  <c r="AC13" i="16"/>
  <c r="AB13" i="16"/>
  <c r="AE13" i="16" s="1"/>
  <c r="AD12" i="16"/>
  <c r="AC12" i="16"/>
  <c r="AB12" i="16"/>
  <c r="AE12" i="16" s="1"/>
  <c r="AD11" i="16"/>
  <c r="AC11" i="16"/>
  <c r="AB11" i="16"/>
  <c r="AE11" i="16" s="1"/>
  <c r="AD10" i="16"/>
  <c r="AC10" i="16"/>
  <c r="AB10" i="16"/>
  <c r="AE10" i="16" s="1"/>
  <c r="AD9" i="16"/>
  <c r="AC9" i="16"/>
  <c r="AB9" i="16"/>
  <c r="AE9" i="16" s="1"/>
  <c r="AD8" i="16"/>
  <c r="AC8" i="16"/>
  <c r="AD7" i="16"/>
  <c r="AC7" i="16"/>
  <c r="AD6" i="16"/>
  <c r="AC6" i="16"/>
  <c r="AD5" i="16"/>
  <c r="AC5" i="16"/>
  <c r="AD4" i="16"/>
  <c r="AC4" i="16"/>
  <c r="Y103" i="16"/>
  <c r="Y104" i="16"/>
  <c r="Y148" i="16"/>
  <c r="Y147" i="16"/>
  <c r="Y146" i="16"/>
  <c r="Y145" i="16"/>
  <c r="Y144" i="16"/>
  <c r="Y143" i="16"/>
  <c r="Y142" i="16"/>
  <c r="Y141" i="16"/>
  <c r="Y140" i="16"/>
  <c r="Y139" i="16"/>
  <c r="Y138" i="16"/>
  <c r="Y137" i="16"/>
  <c r="Y136" i="16"/>
  <c r="Y135" i="16"/>
  <c r="Y134" i="16"/>
  <c r="Y133" i="16"/>
  <c r="Y132" i="16"/>
  <c r="Y131" i="16"/>
  <c r="Y130" i="16"/>
  <c r="Y129" i="16"/>
  <c r="Y128" i="16"/>
  <c r="Y127" i="16"/>
  <c r="Y126" i="16"/>
  <c r="Y125" i="16"/>
  <c r="Y124" i="16"/>
  <c r="Y123" i="16"/>
  <c r="Y122" i="16"/>
  <c r="Y121" i="16"/>
  <c r="Y120" i="16"/>
  <c r="Y119" i="16"/>
  <c r="Y118" i="16"/>
  <c r="Y117" i="16"/>
  <c r="Y116" i="16"/>
  <c r="Y115" i="16"/>
  <c r="Y114" i="16"/>
  <c r="Y113" i="16"/>
  <c r="Y112" i="16"/>
  <c r="Y111" i="16"/>
  <c r="Y110" i="16"/>
  <c r="Y109" i="16"/>
  <c r="Y108" i="16"/>
  <c r="Y107" i="16"/>
  <c r="Y102" i="16"/>
  <c r="Y101" i="16"/>
  <c r="Y100" i="16"/>
  <c r="Y99" i="16"/>
  <c r="Y98" i="16"/>
  <c r="Y97" i="16"/>
  <c r="Y96" i="16"/>
  <c r="Y95" i="16"/>
  <c r="Y94" i="16"/>
  <c r="Y93" i="16"/>
  <c r="Y92" i="16"/>
  <c r="Y91" i="16"/>
  <c r="Y90" i="16"/>
  <c r="Y89" i="16"/>
  <c r="Y88" i="16"/>
  <c r="Y87" i="16"/>
  <c r="Y86" i="16"/>
  <c r="Y85" i="16"/>
  <c r="Y84" i="16"/>
  <c r="Y83" i="16"/>
  <c r="Y82" i="16"/>
  <c r="Y81" i="16"/>
  <c r="Y80" i="16"/>
  <c r="Y79" i="16"/>
  <c r="Y77" i="16"/>
  <c r="Y76" i="16"/>
  <c r="Y75" i="16"/>
  <c r="Y74" i="16"/>
  <c r="Y73" i="16"/>
  <c r="Y72" i="16"/>
  <c r="Y71" i="16"/>
  <c r="Y70" i="16"/>
  <c r="Y69" i="16"/>
  <c r="Y68" i="16"/>
  <c r="Y67" i="16"/>
  <c r="Y66" i="16"/>
  <c r="Y65" i="16"/>
  <c r="Y64" i="16"/>
  <c r="Y63" i="16"/>
  <c r="Y62" i="16"/>
  <c r="Y61" i="16"/>
  <c r="Y60" i="16"/>
  <c r="Y59" i="16"/>
  <c r="Y58" i="16"/>
  <c r="Y57" i="16"/>
  <c r="Y56" i="16"/>
  <c r="Y55" i="16"/>
  <c r="Y54" i="16"/>
  <c r="Y53" i="16"/>
  <c r="Y52" i="16"/>
  <c r="Y51" i="16"/>
  <c r="Y50" i="16"/>
  <c r="Y49" i="16"/>
  <c r="Y48" i="16"/>
  <c r="Y47" i="16"/>
  <c r="Y46" i="16"/>
  <c r="Y45" i="16"/>
  <c r="Y44" i="16"/>
  <c r="Y43" i="16"/>
  <c r="Y42" i="16"/>
  <c r="Y41" i="16"/>
  <c r="Y40" i="16"/>
  <c r="Y36" i="16"/>
  <c r="Y35" i="16"/>
  <c r="Y34" i="16"/>
  <c r="Y32" i="16"/>
  <c r="Y28" i="16"/>
  <c r="Y27" i="16"/>
  <c r="Y26" i="16"/>
  <c r="Y25" i="16"/>
  <c r="Y24" i="16"/>
  <c r="Y23" i="16"/>
  <c r="Y22" i="16"/>
  <c r="Y21" i="16"/>
  <c r="Y20" i="16"/>
  <c r="Y19" i="16"/>
  <c r="Y18" i="16"/>
  <c r="Y17" i="16"/>
  <c r="V17" i="16"/>
  <c r="V18" i="16" s="1"/>
  <c r="Y16" i="16"/>
  <c r="Y15" i="16"/>
  <c r="W15" i="16"/>
  <c r="W16" i="16" s="1"/>
  <c r="W17" i="16" s="1"/>
  <c r="W18" i="16" s="1"/>
  <c r="W19" i="16" s="1"/>
  <c r="W20" i="16" s="1"/>
  <c r="W21" i="16" s="1"/>
  <c r="W22" i="16" s="1"/>
  <c r="W23" i="16" s="1"/>
  <c r="W24" i="16" s="1"/>
  <c r="W25" i="16" s="1"/>
  <c r="W26" i="16" s="1"/>
  <c r="W27" i="16" s="1"/>
  <c r="W28" i="16" s="1"/>
  <c r="V15" i="16"/>
  <c r="X13" i="16"/>
  <c r="W13" i="16"/>
  <c r="V13" i="16"/>
  <c r="Y13" i="16" s="1"/>
  <c r="X12" i="16"/>
  <c r="W12" i="16"/>
  <c r="V12" i="16"/>
  <c r="Y12" i="16" s="1"/>
  <c r="X11" i="16"/>
  <c r="W11" i="16"/>
  <c r="V11" i="16"/>
  <c r="Y11" i="16" s="1"/>
  <c r="X10" i="16"/>
  <c r="W10" i="16"/>
  <c r="V10" i="16"/>
  <c r="Y10" i="16" s="1"/>
  <c r="X9" i="16"/>
  <c r="W9" i="16"/>
  <c r="V9" i="16"/>
  <c r="Y9" i="16" s="1"/>
  <c r="X8" i="16"/>
  <c r="W8" i="16"/>
  <c r="V8" i="16"/>
  <c r="Y8" i="16" s="1"/>
  <c r="X7" i="16"/>
  <c r="W7" i="16"/>
  <c r="X6" i="16"/>
  <c r="W6" i="16"/>
  <c r="X5" i="16"/>
  <c r="W5" i="16"/>
  <c r="X4" i="16"/>
  <c r="W4" i="16"/>
  <c r="J8" i="16"/>
  <c r="J9" i="16"/>
  <c r="M9" i="16" s="1"/>
  <c r="J10" i="16"/>
  <c r="M10" i="16" s="1"/>
  <c r="J11" i="16"/>
  <c r="J12" i="16"/>
  <c r="M12" i="16" s="1"/>
  <c r="J13" i="16"/>
  <c r="M13" i="16" s="1"/>
  <c r="K8" i="16"/>
  <c r="K9" i="16"/>
  <c r="K10" i="16"/>
  <c r="K11" i="16"/>
  <c r="K12" i="16"/>
  <c r="K13" i="16"/>
  <c r="S13" i="16"/>
  <c r="R8" i="16"/>
  <c r="R9" i="16"/>
  <c r="R10" i="16"/>
  <c r="R11" i="16"/>
  <c r="R12" i="16"/>
  <c r="R13" i="16"/>
  <c r="Q8" i="16"/>
  <c r="Q9" i="16"/>
  <c r="Q10" i="16"/>
  <c r="Q11" i="16"/>
  <c r="Q12" i="16"/>
  <c r="Q13" i="16"/>
  <c r="P9" i="16"/>
  <c r="S9" i="16" s="1"/>
  <c r="P10" i="16"/>
  <c r="S10" i="16" s="1"/>
  <c r="P11" i="16"/>
  <c r="S11" i="16" s="1"/>
  <c r="P12" i="16"/>
  <c r="S12" i="16" s="1"/>
  <c r="P13" i="16"/>
  <c r="S148" i="16"/>
  <c r="S147" i="16"/>
  <c r="S146" i="16"/>
  <c r="Q146" i="16"/>
  <c r="Q147" i="16" s="1"/>
  <c r="Q148" i="16" s="1"/>
  <c r="Q149" i="16" s="1"/>
  <c r="Q150" i="16" s="1"/>
  <c r="Q151" i="16" s="1"/>
  <c r="Q152" i="16" s="1"/>
  <c r="Q153" i="16" s="1"/>
  <c r="Q154" i="16" s="1"/>
  <c r="Q155" i="16" s="1"/>
  <c r="Q156" i="16" s="1"/>
  <c r="Q157" i="16" s="1"/>
  <c r="Q158" i="16" s="1"/>
  <c r="Q159" i="16" s="1"/>
  <c r="Q160" i="16" s="1"/>
  <c r="Q161" i="16" s="1"/>
  <c r="Q162" i="16" s="1"/>
  <c r="Q163" i="16" s="1"/>
  <c r="Q164" i="16" s="1"/>
  <c r="Q165" i="16" s="1"/>
  <c r="Q166" i="16" s="1"/>
  <c r="Q167" i="16" s="1"/>
  <c r="Q168" i="16" s="1"/>
  <c r="Q169" i="16" s="1"/>
  <c r="Q170" i="16" s="1"/>
  <c r="Q171" i="16" s="1"/>
  <c r="Q172" i="16" s="1"/>
  <c r="Q173" i="16" s="1"/>
  <c r="Q174" i="16" s="1"/>
  <c r="Q175" i="16" s="1"/>
  <c r="Q176" i="16" s="1"/>
  <c r="Q177" i="16" s="1"/>
  <c r="Q178" i="16" s="1"/>
  <c r="Q179" i="16" s="1"/>
  <c r="Q180" i="16" s="1"/>
  <c r="Q181" i="16" s="1"/>
  <c r="Q182" i="16" s="1"/>
  <c r="Q183" i="16" s="1"/>
  <c r="Q184" i="16" s="1"/>
  <c r="Q185" i="16" s="1"/>
  <c r="Q186" i="16" s="1"/>
  <c r="Q187" i="16" s="1"/>
  <c r="Q188" i="16" s="1"/>
  <c r="Q189" i="16" s="1"/>
  <c r="Q190" i="16" s="1"/>
  <c r="Q191" i="16" s="1"/>
  <c r="Q192" i="16" s="1"/>
  <c r="Q193" i="16" s="1"/>
  <c r="Q194" i="16" s="1"/>
  <c r="Q195" i="16" s="1"/>
  <c r="Q196" i="16" s="1"/>
  <c r="Q197" i="16" s="1"/>
  <c r="Q198" i="16" s="1"/>
  <c r="Q199" i="16" s="1"/>
  <c r="Q200" i="16" s="1"/>
  <c r="Q201" i="16" s="1"/>
  <c r="Q202" i="16" s="1"/>
  <c r="Q203" i="16" s="1"/>
  <c r="Q204" i="16" s="1"/>
  <c r="Q205" i="16" s="1"/>
  <c r="Q206" i="16" s="1"/>
  <c r="Q207" i="16" s="1"/>
  <c r="Q208" i="16" s="1"/>
  <c r="Q209" i="16" s="1"/>
  <c r="Q210" i="16" s="1"/>
  <c r="Q211" i="16" s="1"/>
  <c r="Q212" i="16" s="1"/>
  <c r="Q213" i="16" s="1"/>
  <c r="Q214" i="16" s="1"/>
  <c r="Q215" i="16" s="1"/>
  <c r="Q216" i="16" s="1"/>
  <c r="Q217" i="16" s="1"/>
  <c r="Q218" i="16" s="1"/>
  <c r="Q219" i="16" s="1"/>
  <c r="Q220" i="16" s="1"/>
  <c r="Q221" i="16" s="1"/>
  <c r="Q222" i="16" s="1"/>
  <c r="Q223" i="16" s="1"/>
  <c r="Q224" i="16" s="1"/>
  <c r="Q225" i="16" s="1"/>
  <c r="Q226" i="16" s="1"/>
  <c r="Q227" i="16" s="1"/>
  <c r="Q228" i="16" s="1"/>
  <c r="Q229" i="16" s="1"/>
  <c r="Q230" i="16" s="1"/>
  <c r="S145" i="16"/>
  <c r="S144" i="16"/>
  <c r="S143" i="16"/>
  <c r="S142" i="16"/>
  <c r="S141" i="16"/>
  <c r="S140" i="16"/>
  <c r="S139" i="16"/>
  <c r="S138" i="16"/>
  <c r="Q138" i="16"/>
  <c r="Q139" i="16" s="1"/>
  <c r="Q140" i="16" s="1"/>
  <c r="Q141" i="16" s="1"/>
  <c r="Q142" i="16" s="1"/>
  <c r="Q143" i="16" s="1"/>
  <c r="Q144" i="16" s="1"/>
  <c r="Q145" i="16" s="1"/>
  <c r="S137" i="16"/>
  <c r="S136" i="16"/>
  <c r="S135" i="16"/>
  <c r="S134" i="16"/>
  <c r="Q134" i="16"/>
  <c r="Q135" i="16" s="1"/>
  <c r="Q136" i="16" s="1"/>
  <c r="Q137" i="16" s="1"/>
  <c r="S133" i="16"/>
  <c r="S132" i="16"/>
  <c r="P132" i="16"/>
  <c r="P133" i="16" s="1"/>
  <c r="P134" i="16" s="1"/>
  <c r="P135" i="16" s="1"/>
  <c r="S131" i="16"/>
  <c r="S130" i="16"/>
  <c r="S129" i="16"/>
  <c r="S128" i="16"/>
  <c r="Q128" i="16"/>
  <c r="Q129" i="16" s="1"/>
  <c r="Q130" i="16" s="1"/>
  <c r="Q131" i="16" s="1"/>
  <c r="Q132" i="16" s="1"/>
  <c r="Q133" i="16" s="1"/>
  <c r="S127" i="16"/>
  <c r="S126" i="16"/>
  <c r="S125" i="16"/>
  <c r="S124" i="16"/>
  <c r="S123" i="16"/>
  <c r="S122" i="16"/>
  <c r="S121" i="16"/>
  <c r="Q121" i="16"/>
  <c r="Q122" i="16" s="1"/>
  <c r="Q123" i="16" s="1"/>
  <c r="Q124" i="16" s="1"/>
  <c r="Q125" i="16" s="1"/>
  <c r="Q126" i="16" s="1"/>
  <c r="Q127" i="16" s="1"/>
  <c r="S120" i="16"/>
  <c r="S119" i="16"/>
  <c r="S118" i="16"/>
  <c r="S117" i="16"/>
  <c r="S116" i="16"/>
  <c r="S115" i="16"/>
  <c r="S114" i="16"/>
  <c r="S113" i="16"/>
  <c r="S112" i="16"/>
  <c r="S111" i="16"/>
  <c r="S110" i="16"/>
  <c r="S109" i="16"/>
  <c r="S108" i="16"/>
  <c r="S107" i="16"/>
  <c r="S106" i="16"/>
  <c r="S105" i="16"/>
  <c r="S104" i="16"/>
  <c r="Q104" i="16"/>
  <c r="Q105" i="16" s="1"/>
  <c r="Q106" i="16" s="1"/>
  <c r="Q107" i="16" s="1"/>
  <c r="Q108" i="16" s="1"/>
  <c r="Q109" i="16" s="1"/>
  <c r="Q110" i="16" s="1"/>
  <c r="Q111" i="16" s="1"/>
  <c r="Q112" i="16" s="1"/>
  <c r="Q113" i="16" s="1"/>
  <c r="Q114" i="16" s="1"/>
  <c r="Q115" i="16" s="1"/>
  <c r="Q116" i="16" s="1"/>
  <c r="Q117" i="16" s="1"/>
  <c r="Q118" i="16" s="1"/>
  <c r="Q119" i="16" s="1"/>
  <c r="Q120" i="16" s="1"/>
  <c r="S103" i="16"/>
  <c r="S102" i="16"/>
  <c r="P102" i="16"/>
  <c r="P103" i="16" s="1"/>
  <c r="P104" i="16" s="1"/>
  <c r="P105" i="16" s="1"/>
  <c r="S101" i="16"/>
  <c r="S100" i="16"/>
  <c r="S99" i="16"/>
  <c r="S98" i="16"/>
  <c r="S97" i="16"/>
  <c r="Q97" i="16"/>
  <c r="Q98" i="16" s="1"/>
  <c r="Q99" i="16" s="1"/>
  <c r="Q100" i="16" s="1"/>
  <c r="Q101" i="16" s="1"/>
  <c r="Q102" i="16" s="1"/>
  <c r="Q103" i="16" s="1"/>
  <c r="S96" i="16"/>
  <c r="Q96" i="16"/>
  <c r="S95" i="16"/>
  <c r="S94" i="16"/>
  <c r="S93" i="16"/>
  <c r="S92" i="16"/>
  <c r="S91" i="16"/>
  <c r="S90" i="16"/>
  <c r="S89" i="16"/>
  <c r="Q89" i="16"/>
  <c r="Q90" i="16" s="1"/>
  <c r="Q91" i="16" s="1"/>
  <c r="Q92" i="16" s="1"/>
  <c r="Q93" i="16" s="1"/>
  <c r="Q94" i="16" s="1"/>
  <c r="Q95" i="16" s="1"/>
  <c r="S88" i="16"/>
  <c r="S87" i="16"/>
  <c r="S86" i="16"/>
  <c r="S85" i="16"/>
  <c r="S84" i="16"/>
  <c r="S83" i="16"/>
  <c r="Q83" i="16"/>
  <c r="Q84" i="16" s="1"/>
  <c r="Q85" i="16" s="1"/>
  <c r="Q86" i="16" s="1"/>
  <c r="Q87" i="16" s="1"/>
  <c r="Q88" i="16" s="1"/>
  <c r="S82" i="16"/>
  <c r="S81" i="16"/>
  <c r="P81" i="16"/>
  <c r="P82" i="16" s="1"/>
  <c r="P83" i="16" s="1"/>
  <c r="P84" i="16" s="1"/>
  <c r="S80" i="16"/>
  <c r="S79" i="16"/>
  <c r="S78" i="16"/>
  <c r="S77" i="16"/>
  <c r="S76" i="16"/>
  <c r="S75" i="16"/>
  <c r="Q75" i="16"/>
  <c r="Q76" i="16" s="1"/>
  <c r="Q77" i="16" s="1"/>
  <c r="Q78" i="16" s="1"/>
  <c r="Q79" i="16" s="1"/>
  <c r="Q80" i="16" s="1"/>
  <c r="Q81" i="16" s="1"/>
  <c r="Q82" i="16" s="1"/>
  <c r="S74" i="16"/>
  <c r="S73" i="16"/>
  <c r="S72" i="16"/>
  <c r="S71" i="16"/>
  <c r="S70" i="16"/>
  <c r="S69" i="16"/>
  <c r="S68" i="16"/>
  <c r="S67" i="16"/>
  <c r="S66" i="16"/>
  <c r="Q66" i="16"/>
  <c r="Q67" i="16" s="1"/>
  <c r="Q68" i="16" s="1"/>
  <c r="Q69" i="16" s="1"/>
  <c r="Q70" i="16" s="1"/>
  <c r="Q71" i="16" s="1"/>
  <c r="Q72" i="16" s="1"/>
  <c r="Q73" i="16" s="1"/>
  <c r="Q74" i="16" s="1"/>
  <c r="S65" i="16"/>
  <c r="S64" i="16"/>
  <c r="S63" i="16"/>
  <c r="S62" i="16"/>
  <c r="S61" i="16"/>
  <c r="S60" i="16"/>
  <c r="S59" i="16"/>
  <c r="S58" i="16"/>
  <c r="S57" i="16"/>
  <c r="S56" i="16"/>
  <c r="S55" i="16"/>
  <c r="S54" i="16"/>
  <c r="S53" i="16"/>
  <c r="S52" i="16"/>
  <c r="S51" i="16"/>
  <c r="S50" i="16"/>
  <c r="S49" i="16"/>
  <c r="S48" i="16"/>
  <c r="S47" i="16"/>
  <c r="S46" i="16"/>
  <c r="S45" i="16"/>
  <c r="S44" i="16"/>
  <c r="Q44" i="16"/>
  <c r="Q45" i="16" s="1"/>
  <c r="Q46" i="16" s="1"/>
  <c r="Q47" i="16" s="1"/>
  <c r="Q48" i="16" s="1"/>
  <c r="Q49" i="16" s="1"/>
  <c r="Q50" i="16" s="1"/>
  <c r="Q51" i="16" s="1"/>
  <c r="Q52" i="16" s="1"/>
  <c r="Q53" i="16" s="1"/>
  <c r="Q54" i="16" s="1"/>
  <c r="Q55" i="16" s="1"/>
  <c r="Q56" i="16" s="1"/>
  <c r="Q57" i="16" s="1"/>
  <c r="Q58" i="16" s="1"/>
  <c r="Q59" i="16" s="1"/>
  <c r="Q60" i="16" s="1"/>
  <c r="Q61" i="16" s="1"/>
  <c r="Q62" i="16" s="1"/>
  <c r="Q63" i="16" s="1"/>
  <c r="Q64" i="16" s="1"/>
  <c r="Q65" i="16" s="1"/>
  <c r="S43" i="16"/>
  <c r="S42" i="16"/>
  <c r="P42" i="16"/>
  <c r="P43" i="16" s="1"/>
  <c r="P44" i="16" s="1"/>
  <c r="P45" i="16" s="1"/>
  <c r="S41" i="16"/>
  <c r="S40" i="16"/>
  <c r="S39" i="16"/>
  <c r="S38" i="16"/>
  <c r="S37" i="16"/>
  <c r="S36" i="16"/>
  <c r="Q36" i="16"/>
  <c r="Q37" i="16" s="1"/>
  <c r="Q38" i="16" s="1"/>
  <c r="Q39" i="16" s="1"/>
  <c r="Q40" i="16" s="1"/>
  <c r="Q41" i="16" s="1"/>
  <c r="Q42" i="16" s="1"/>
  <c r="Q43" i="16" s="1"/>
  <c r="S35" i="16"/>
  <c r="S34" i="16"/>
  <c r="S33" i="16"/>
  <c r="S32" i="16"/>
  <c r="S31" i="16"/>
  <c r="S30" i="16"/>
  <c r="Q30" i="16"/>
  <c r="Q31" i="16" s="1"/>
  <c r="Q32" i="16" s="1"/>
  <c r="Q33" i="16" s="1"/>
  <c r="Q34" i="16" s="1"/>
  <c r="Q35" i="16" s="1"/>
  <c r="S29" i="16"/>
  <c r="S28" i="16"/>
  <c r="S27" i="16"/>
  <c r="S26" i="16"/>
  <c r="S25" i="16"/>
  <c r="S24" i="16"/>
  <c r="S23" i="16"/>
  <c r="S22" i="16"/>
  <c r="S21" i="16"/>
  <c r="S20" i="16"/>
  <c r="S19" i="16"/>
  <c r="Q19" i="16"/>
  <c r="Q20" i="16" s="1"/>
  <c r="Q21" i="16" s="1"/>
  <c r="Q22" i="16" s="1"/>
  <c r="Q23" i="16" s="1"/>
  <c r="Q24" i="16" s="1"/>
  <c r="Q25" i="16" s="1"/>
  <c r="Q26" i="16" s="1"/>
  <c r="Q27" i="16" s="1"/>
  <c r="Q28" i="16" s="1"/>
  <c r="Q29" i="16" s="1"/>
  <c r="S18" i="16"/>
  <c r="S17" i="16"/>
  <c r="P17" i="16"/>
  <c r="P18" i="16" s="1"/>
  <c r="S16" i="16"/>
  <c r="S15" i="16"/>
  <c r="Q15" i="16"/>
  <c r="Q16" i="16" s="1"/>
  <c r="Q17" i="16" s="1"/>
  <c r="Q18" i="16" s="1"/>
  <c r="P15" i="16"/>
  <c r="R7" i="16"/>
  <c r="Q7" i="16"/>
  <c r="R6" i="16"/>
  <c r="Q6" i="16"/>
  <c r="R5" i="16"/>
  <c r="Q5" i="16"/>
  <c r="R4" i="16"/>
  <c r="Q4" i="16"/>
  <c r="M11" i="16"/>
  <c r="M133" i="16"/>
  <c r="M134" i="16"/>
  <c r="M135" i="16"/>
  <c r="M136" i="16"/>
  <c r="M137" i="16"/>
  <c r="M138" i="16"/>
  <c r="M139" i="16"/>
  <c r="M140" i="16"/>
  <c r="M141" i="16"/>
  <c r="M142" i="16"/>
  <c r="M143" i="16"/>
  <c r="M144" i="16"/>
  <c r="M145" i="16"/>
  <c r="M146" i="16"/>
  <c r="M147" i="16"/>
  <c r="M148" i="16"/>
  <c r="M83" i="16"/>
  <c r="M84" i="16"/>
  <c r="M85" i="16"/>
  <c r="M86" i="16"/>
  <c r="M87" i="16"/>
  <c r="M88" i="16"/>
  <c r="M89" i="16"/>
  <c r="M90" i="16"/>
  <c r="M91" i="16"/>
  <c r="M92" i="16"/>
  <c r="M93" i="16"/>
  <c r="M94" i="16"/>
  <c r="M95" i="16"/>
  <c r="M96"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46" i="16"/>
  <c r="M47" i="16"/>
  <c r="M48" i="16"/>
  <c r="M49" i="16"/>
  <c r="M50" i="16"/>
  <c r="M51" i="16"/>
  <c r="M52" i="16"/>
  <c r="M53" i="16"/>
  <c r="M54" i="16"/>
  <c r="M55" i="16"/>
  <c r="M56" i="16"/>
  <c r="M57" i="16"/>
  <c r="M58" i="16"/>
  <c r="M59" i="16"/>
  <c r="M60" i="16"/>
  <c r="M61" i="16"/>
  <c r="M62" i="16"/>
  <c r="M63" i="16"/>
  <c r="M64" i="16"/>
  <c r="M65" i="16"/>
  <c r="M66" i="16"/>
  <c r="M67" i="16"/>
  <c r="M68" i="16"/>
  <c r="M69" i="16"/>
  <c r="M70" i="16"/>
  <c r="M71" i="16"/>
  <c r="M72" i="16"/>
  <c r="M73" i="16"/>
  <c r="M74" i="16"/>
  <c r="M75" i="16"/>
  <c r="M76" i="16"/>
  <c r="M77" i="16"/>
  <c r="M78" i="16"/>
  <c r="M79" i="16"/>
  <c r="M80" i="16"/>
  <c r="M81" i="16"/>
  <c r="M82" i="16"/>
  <c r="M16" i="16"/>
  <c r="M17" i="16"/>
  <c r="M18" i="16"/>
  <c r="M19" i="16"/>
  <c r="M20" i="16"/>
  <c r="M21" i="16"/>
  <c r="M22" i="16"/>
  <c r="M23" i="16"/>
  <c r="M24" i="16"/>
  <c r="M25" i="16"/>
  <c r="M26" i="16"/>
  <c r="M27" i="16"/>
  <c r="M28" i="16"/>
  <c r="M29" i="16"/>
  <c r="M30" i="16"/>
  <c r="M31" i="16"/>
  <c r="M32" i="16"/>
  <c r="M33" i="16"/>
  <c r="M34" i="16"/>
  <c r="M35" i="16"/>
  <c r="M36" i="16"/>
  <c r="M37" i="16"/>
  <c r="M38" i="16"/>
  <c r="M39" i="16"/>
  <c r="M40" i="16"/>
  <c r="M41" i="16"/>
  <c r="M42" i="16"/>
  <c r="M43" i="16"/>
  <c r="M44" i="16"/>
  <c r="M45" i="16"/>
  <c r="M15" i="16"/>
  <c r="K96" i="16"/>
  <c r="K97" i="16" s="1"/>
  <c r="K98" i="16" s="1"/>
  <c r="K99" i="16" s="1"/>
  <c r="K100" i="16" s="1"/>
  <c r="K101" i="16" s="1"/>
  <c r="K102" i="16" s="1"/>
  <c r="K103" i="16"/>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44" i="16"/>
  <c r="K45" i="16"/>
  <c r="K46" i="16" s="1"/>
  <c r="K47" i="16" s="1"/>
  <c r="K48" i="16" s="1"/>
  <c r="K49" i="16"/>
  <c r="K50" i="16" s="1"/>
  <c r="K51" i="16" s="1"/>
  <c r="K52" i="16" s="1"/>
  <c r="K53" i="16" s="1"/>
  <c r="K54" i="16" s="1"/>
  <c r="K55" i="16"/>
  <c r="K56" i="16" s="1"/>
  <c r="K57" i="16" s="1"/>
  <c r="K58" i="16" s="1"/>
  <c r="K59" i="16" s="1"/>
  <c r="K60" i="16" s="1"/>
  <c r="K61" i="16" s="1"/>
  <c r="K62" i="16" s="1"/>
  <c r="K63" i="16"/>
  <c r="K64" i="16" s="1"/>
  <c r="K65" i="16" s="1"/>
  <c r="K66" i="16" s="1"/>
  <c r="K67" i="16" s="1"/>
  <c r="K68" i="16" s="1"/>
  <c r="K69" i="16" s="1"/>
  <c r="K70" i="16" s="1"/>
  <c r="K71" i="16"/>
  <c r="K72" i="16" s="1"/>
  <c r="K73" i="16" s="1"/>
  <c r="K74" i="16" s="1"/>
  <c r="K75" i="16" s="1"/>
  <c r="K76" i="16" s="1"/>
  <c r="K77" i="16" s="1"/>
  <c r="K78" i="16"/>
  <c r="K79" i="16" s="1"/>
  <c r="K80" i="16" s="1"/>
  <c r="K81" i="16" s="1"/>
  <c r="K82" i="16" s="1"/>
  <c r="K83" i="16" s="1"/>
  <c r="K84" i="16" s="1"/>
  <c r="K85" i="16" s="1"/>
  <c r="K86" i="16" s="1"/>
  <c r="K87" i="16" s="1"/>
  <c r="K88" i="16" s="1"/>
  <c r="K89" i="16" s="1"/>
  <c r="K90" i="16" s="1"/>
  <c r="K91" i="16" s="1"/>
  <c r="K92" i="16" s="1"/>
  <c r="K93" i="16" s="1"/>
  <c r="K94" i="16" s="1"/>
  <c r="K95" i="16" s="1"/>
  <c r="K19" i="16"/>
  <c r="K20" i="16" s="1"/>
  <c r="K21" i="16" s="1"/>
  <c r="K22" i="16" s="1"/>
  <c r="K23" i="16" s="1"/>
  <c r="K24" i="16" s="1"/>
  <c r="K25" i="16"/>
  <c r="K26" i="16" s="1"/>
  <c r="K27" i="16" s="1"/>
  <c r="K28" i="16" s="1"/>
  <c r="K29" i="16" s="1"/>
  <c r="K30" i="16" s="1"/>
  <c r="K31" i="16" s="1"/>
  <c r="K32" i="16" s="1"/>
  <c r="K33" i="16" s="1"/>
  <c r="K34" i="16"/>
  <c r="K35" i="16"/>
  <c r="K36" i="16" s="1"/>
  <c r="K37" i="16" s="1"/>
  <c r="K38" i="16" s="1"/>
  <c r="K39" i="16" s="1"/>
  <c r="K40" i="16"/>
  <c r="K41" i="16"/>
  <c r="K42" i="16" s="1"/>
  <c r="K43" i="16" s="1"/>
  <c r="K15" i="16"/>
  <c r="K16" i="16" s="1"/>
  <c r="K17" i="16" s="1"/>
  <c r="K18" i="16" s="1"/>
  <c r="J75" i="16"/>
  <c r="J76" i="16"/>
  <c r="J77" i="16" s="1"/>
  <c r="J78" i="16" s="1"/>
  <c r="J79" i="16" s="1"/>
  <c r="J80" i="16" s="1"/>
  <c r="J81" i="16" s="1"/>
  <c r="J82" i="16" s="1"/>
  <c r="J83" i="16" s="1"/>
  <c r="J84" i="16" s="1"/>
  <c r="J85" i="16" s="1"/>
  <c r="J86" i="16" s="1"/>
  <c r="J87" i="16" s="1"/>
  <c r="J88" i="16" s="1"/>
  <c r="J89" i="16" s="1"/>
  <c r="J90" i="16" s="1"/>
  <c r="J91" i="16" s="1"/>
  <c r="J92" i="16" s="1"/>
  <c r="J93" i="16" s="1"/>
  <c r="J94" i="16" s="1"/>
  <c r="J95" i="16" s="1"/>
  <c r="J96" i="16" s="1"/>
  <c r="J97" i="16" s="1"/>
  <c r="J98" i="16" s="1"/>
  <c r="J99" i="16" s="1"/>
  <c r="J100" i="16" s="1"/>
  <c r="J101" i="16" s="1"/>
  <c r="J102" i="16" s="1"/>
  <c r="J103" i="16" s="1"/>
  <c r="J104" i="16" s="1"/>
  <c r="J105" i="16" s="1"/>
  <c r="J106" i="16" s="1"/>
  <c r="J107" i="16" s="1"/>
  <c r="J108" i="16" s="1"/>
  <c r="J109" i="16" s="1"/>
  <c r="J110" i="16" s="1"/>
  <c r="J111" i="16" s="1"/>
  <c r="J112" i="16" s="1"/>
  <c r="J113" i="16" s="1"/>
  <c r="J114" i="16" s="1"/>
  <c r="J115" i="16" s="1"/>
  <c r="J116" i="16" s="1"/>
  <c r="J117" i="16" s="1"/>
  <c r="J118" i="16" s="1"/>
  <c r="J119" i="16" s="1"/>
  <c r="J120" i="16" s="1"/>
  <c r="J121" i="16" s="1"/>
  <c r="J122" i="16" s="1"/>
  <c r="J123" i="16" s="1"/>
  <c r="J124" i="16" s="1"/>
  <c r="J125" i="16" s="1"/>
  <c r="J126" i="16" s="1"/>
  <c r="J127" i="16" s="1"/>
  <c r="J128" i="16" s="1"/>
  <c r="J129" i="16" s="1"/>
  <c r="J130" i="16" s="1"/>
  <c r="J131" i="16" s="1"/>
  <c r="J132" i="16" s="1"/>
  <c r="J133" i="16" s="1"/>
  <c r="J134" i="16" s="1"/>
  <c r="J135" i="16" s="1"/>
  <c r="J136" i="16" s="1"/>
  <c r="J137" i="16" s="1"/>
  <c r="J138" i="16" s="1"/>
  <c r="J139" i="16" s="1"/>
  <c r="J140" i="16" s="1"/>
  <c r="J141" i="16" s="1"/>
  <c r="J142" i="16" s="1"/>
  <c r="J143" i="16" s="1"/>
  <c r="J144" i="16" s="1"/>
  <c r="J145" i="16" s="1"/>
  <c r="J146" i="16" s="1"/>
  <c r="J147" i="16" s="1"/>
  <c r="J148" i="16" s="1"/>
  <c r="J39" i="16"/>
  <c r="J40" i="16" s="1"/>
  <c r="J41" i="16" s="1"/>
  <c r="J42" i="16" s="1"/>
  <c r="J43" i="16" s="1"/>
  <c r="J44" i="16" s="1"/>
  <c r="J45" i="16" s="1"/>
  <c r="J46" i="16" s="1"/>
  <c r="J47" i="16" s="1"/>
  <c r="J48" i="16" s="1"/>
  <c r="J49" i="16" s="1"/>
  <c r="J50" i="16" s="1"/>
  <c r="J51" i="16" s="1"/>
  <c r="J52" i="16" s="1"/>
  <c r="J53" i="16"/>
  <c r="J54" i="16" s="1"/>
  <c r="J55" i="16" s="1"/>
  <c r="J56" i="16" s="1"/>
  <c r="J57" i="16" s="1"/>
  <c r="J58" i="16" s="1"/>
  <c r="J59" i="16" s="1"/>
  <c r="J60" i="16" s="1"/>
  <c r="J61" i="16" s="1"/>
  <c r="J62" i="16" s="1"/>
  <c r="J63" i="16" s="1"/>
  <c r="J64" i="16" s="1"/>
  <c r="J65" i="16" s="1"/>
  <c r="J66" i="16" s="1"/>
  <c r="J67" i="16" s="1"/>
  <c r="J68" i="16" s="1"/>
  <c r="J69" i="16" s="1"/>
  <c r="J70" i="16" s="1"/>
  <c r="J71" i="16" s="1"/>
  <c r="J72" i="16" s="1"/>
  <c r="J73" i="16" s="1"/>
  <c r="J74" i="16" s="1"/>
  <c r="J16" i="16"/>
  <c r="J17" i="16"/>
  <c r="J18" i="16" s="1"/>
  <c r="J19" i="16" s="1"/>
  <c r="J20" i="16" s="1"/>
  <c r="J21" i="16" s="1"/>
  <c r="J22" i="16" s="1"/>
  <c r="J23" i="16" s="1"/>
  <c r="J24" i="16" s="1"/>
  <c r="J25" i="16" s="1"/>
  <c r="J26" i="16" s="1"/>
  <c r="J27" i="16" s="1"/>
  <c r="J28" i="16" s="1"/>
  <c r="J29" i="16" s="1"/>
  <c r="J30" i="16" s="1"/>
  <c r="J31" i="16" s="1"/>
  <c r="J32" i="16" s="1"/>
  <c r="J33" i="16" s="1"/>
  <c r="J34" i="16" s="1"/>
  <c r="J35" i="16" s="1"/>
  <c r="J36" i="16" s="1"/>
  <c r="J37" i="16" s="1"/>
  <c r="J38" i="16"/>
  <c r="J15" i="16"/>
  <c r="L5" i="16"/>
  <c r="L6" i="16"/>
  <c r="L7" i="16"/>
  <c r="L4" i="16"/>
  <c r="K5" i="16"/>
  <c r="K6" i="16"/>
  <c r="K7" i="16"/>
  <c r="L8" i="16"/>
  <c r="L9" i="16"/>
  <c r="L10" i="16"/>
  <c r="L11" i="16"/>
  <c r="L12" i="16"/>
  <c r="L13" i="16"/>
  <c r="K4" i="16"/>
  <c r="D4" i="16"/>
  <c r="D5" i="16"/>
  <c r="D6" i="16"/>
  <c r="D7" i="16"/>
  <c r="D8" i="16"/>
  <c r="G4" i="16"/>
  <c r="H4" i="2" s="1" a="1"/>
  <c r="H4" i="2" s="1"/>
  <c r="G5" i="16"/>
  <c r="H5" i="2" s="1" a="1"/>
  <c r="H5" i="2" s="1"/>
  <c r="G6" i="16"/>
  <c r="H6" i="2" s="1" a="1"/>
  <c r="H6" i="2" s="1"/>
  <c r="G7" i="16"/>
  <c r="H7" i="2" s="1" a="1"/>
  <c r="H7" i="2" s="1"/>
  <c r="G8" i="16"/>
  <c r="H8" i="2" s="1" a="1"/>
  <c r="H8" i="2" s="1"/>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D60" i="16"/>
  <c r="D61" i="16" s="1"/>
  <c r="D62" i="16" s="1"/>
  <c r="D63" i="16" s="1"/>
  <c r="D64" i="16" s="1"/>
  <c r="D65" i="16" s="1"/>
  <c r="D66" i="16" s="1"/>
  <c r="D67" i="16" s="1"/>
  <c r="D68" i="16" s="1"/>
  <c r="D69" i="16" s="1"/>
  <c r="D70" i="16" s="1"/>
  <c r="D71" i="16" s="1"/>
  <c r="D72" i="16" s="1"/>
  <c r="D73" i="16" s="1"/>
  <c r="D74" i="16" s="1"/>
  <c r="D75" i="16"/>
  <c r="D76" i="16" s="1"/>
  <c r="D77" i="16" s="1"/>
  <c r="D78" i="16" s="1"/>
  <c r="D79" i="16" s="1"/>
  <c r="D80" i="16" s="1"/>
  <c r="D81" i="16" s="1"/>
  <c r="D82" i="16" s="1"/>
  <c r="D83" i="16" s="1"/>
  <c r="D84" i="16" s="1"/>
  <c r="D85" i="16" s="1"/>
  <c r="D86" i="16" s="1"/>
  <c r="D87" i="16" s="1"/>
  <c r="D88" i="16" s="1"/>
  <c r="D89" i="16" s="1"/>
  <c r="D90" i="16" s="1"/>
  <c r="D91" i="16" s="1"/>
  <c r="D31" i="16"/>
  <c r="D32" i="16" s="1"/>
  <c r="D33" i="16" s="1"/>
  <c r="D34" i="16" s="1"/>
  <c r="D35" i="16" s="1"/>
  <c r="D36" i="16" s="1"/>
  <c r="D37" i="16" s="1"/>
  <c r="D38" i="16" s="1"/>
  <c r="D39" i="16" s="1"/>
  <c r="D40" i="16" s="1"/>
  <c r="D41" i="16" s="1"/>
  <c r="D42" i="16" s="1"/>
  <c r="D43" i="16" s="1"/>
  <c r="D44" i="16" s="1"/>
  <c r="D45" i="16" s="1"/>
  <c r="D46" i="16"/>
  <c r="D47" i="16" s="1"/>
  <c r="D48" i="16" s="1"/>
  <c r="D49" i="16" s="1"/>
  <c r="D50" i="16" s="1"/>
  <c r="D51" i="16" s="1"/>
  <c r="D52" i="16" s="1"/>
  <c r="D53" i="16" s="1"/>
  <c r="D54" i="16" s="1"/>
  <c r="D55" i="16" s="1"/>
  <c r="D56" i="16" s="1"/>
  <c r="D57" i="16" s="1"/>
  <c r="D58" i="16" s="1"/>
  <c r="D59" i="16" s="1"/>
  <c r="D15"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15" i="16"/>
  <c r="E15" i="16"/>
  <c r="E16" i="16" s="1"/>
  <c r="E62" i="16"/>
  <c r="E63" i="16" s="1"/>
  <c r="E64" i="16" s="1"/>
  <c r="E65" i="16" s="1"/>
  <c r="E66" i="16" s="1"/>
  <c r="E67" i="16" s="1"/>
  <c r="E68" i="16" s="1"/>
  <c r="E69" i="16" s="1"/>
  <c r="E70" i="16"/>
  <c r="E71" i="16" s="1"/>
  <c r="E72" i="16" s="1"/>
  <c r="E73" i="16" s="1"/>
  <c r="E74" i="16" s="1"/>
  <c r="E75" i="16" s="1"/>
  <c r="E76" i="16" s="1"/>
  <c r="E77" i="16"/>
  <c r="E78" i="16" s="1"/>
  <c r="E79" i="16" s="1"/>
  <c r="E80" i="16" s="1"/>
  <c r="E81" i="16" s="1"/>
  <c r="E82" i="16" s="1"/>
  <c r="E83" i="16" s="1"/>
  <c r="E84" i="16" s="1"/>
  <c r="E85" i="16"/>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113" i="16" s="1"/>
  <c r="E114" i="16" s="1"/>
  <c r="E115" i="16" s="1"/>
  <c r="E116" i="16" s="1"/>
  <c r="E117" i="16" s="1"/>
  <c r="E118" i="16" s="1"/>
  <c r="E119" i="16" s="1"/>
  <c r="E120" i="16" s="1"/>
  <c r="E121" i="16" s="1"/>
  <c r="E122" i="16" s="1"/>
  <c r="E123" i="16" s="1"/>
  <c r="E124" i="16" s="1"/>
  <c r="E125" i="16" s="1"/>
  <c r="E126" i="16" s="1"/>
  <c r="E127" i="16" s="1"/>
  <c r="E128" i="16" s="1"/>
  <c r="E129" i="16" s="1"/>
  <c r="E130" i="16" s="1"/>
  <c r="E131" i="16" s="1"/>
  <c r="E132" i="16" s="1"/>
  <c r="E133" i="16" s="1"/>
  <c r="E134" i="16" s="1"/>
  <c r="E135" i="16" s="1"/>
  <c r="E136" i="16" s="1"/>
  <c r="E137" i="16" s="1"/>
  <c r="E138" i="16" s="1"/>
  <c r="E139" i="16" s="1"/>
  <c r="E140" i="16" s="1"/>
  <c r="E141" i="16" s="1"/>
  <c r="E142" i="16" s="1"/>
  <c r="E143" i="16" s="1"/>
  <c r="E144" i="16" s="1"/>
  <c r="E145" i="16" s="1"/>
  <c r="E146" i="16" s="1"/>
  <c r="E147" i="16" s="1"/>
  <c r="E148" i="16" s="1"/>
  <c r="E17" i="16"/>
  <c r="E18" i="16" s="1"/>
  <c r="E19" i="16" s="1"/>
  <c r="E20" i="16" s="1"/>
  <c r="E21" i="16" s="1"/>
  <c r="E22" i="16" s="1"/>
  <c r="E23" i="16" s="1"/>
  <c r="E24" i="16" s="1"/>
  <c r="E25" i="16"/>
  <c r="E26" i="16" s="1"/>
  <c r="E27" i="16" s="1"/>
  <c r="E28" i="16" s="1"/>
  <c r="E29" i="16" s="1"/>
  <c r="E30" i="16" s="1"/>
  <c r="E31" i="16" s="1"/>
  <c r="E32" i="16" s="1"/>
  <c r="E33" i="16"/>
  <c r="E34" i="16" s="1"/>
  <c r="E35" i="16" s="1"/>
  <c r="E36" i="16" s="1"/>
  <c r="E37" i="16" s="1"/>
  <c r="E38" i="16" s="1"/>
  <c r="E39" i="16" s="1"/>
  <c r="E40" i="16"/>
  <c r="E41" i="16" s="1"/>
  <c r="E42" i="16" s="1"/>
  <c r="E43" i="16" s="1"/>
  <c r="E44" i="16" s="1"/>
  <c r="E45" i="16" s="1"/>
  <c r="E46" i="16" s="1"/>
  <c r="E47" i="16" s="1"/>
  <c r="E48" i="16"/>
  <c r="E49" i="16" s="1"/>
  <c r="E50" i="16" s="1"/>
  <c r="E51" i="16" s="1"/>
  <c r="E52" i="16" s="1"/>
  <c r="E53" i="16" s="1"/>
  <c r="E54" i="16" s="1"/>
  <c r="E55" i="16"/>
  <c r="E56" i="16" s="1"/>
  <c r="E57" i="16" s="1"/>
  <c r="E58" i="16" s="1"/>
  <c r="E59" i="16" s="1"/>
  <c r="E60" i="16" s="1"/>
  <c r="E61" i="16" s="1"/>
  <c r="K5" i="15"/>
  <c r="K4" i="15"/>
  <c r="K3" i="15"/>
  <c r="G5" i="15"/>
  <c r="G2" i="15"/>
  <c r="J18" i="15"/>
  <c r="K18" i="15"/>
  <c r="L18" i="15"/>
  <c r="M18" i="15"/>
  <c r="N18" i="15"/>
  <c r="J19" i="15"/>
  <c r="K19" i="15"/>
  <c r="L19" i="15"/>
  <c r="M19" i="15"/>
  <c r="N19" i="15"/>
  <c r="J24" i="15"/>
  <c r="K24" i="15"/>
  <c r="L24" i="15"/>
  <c r="M24" i="15"/>
  <c r="N24" i="15"/>
  <c r="J25" i="15"/>
  <c r="K25" i="15"/>
  <c r="L25" i="15"/>
  <c r="M25" i="15"/>
  <c r="N25" i="15"/>
  <c r="J30" i="15"/>
  <c r="K30" i="15"/>
  <c r="L30" i="15"/>
  <c r="M30" i="15"/>
  <c r="N30" i="15"/>
  <c r="J31" i="15"/>
  <c r="K31" i="15"/>
  <c r="L31" i="15"/>
  <c r="M31" i="15"/>
  <c r="N31" i="15"/>
  <c r="I15" i="15"/>
  <c r="I16" i="15"/>
  <c r="I17" i="15"/>
  <c r="I20" i="15"/>
  <c r="I21" i="15"/>
  <c r="I22" i="15"/>
  <c r="I23" i="15"/>
  <c r="I26" i="15"/>
  <c r="I27" i="15"/>
  <c r="I28" i="15"/>
  <c r="I29" i="15"/>
  <c r="I32" i="15"/>
  <c r="I33" i="15"/>
  <c r="I34" i="15"/>
  <c r="I14" i="15"/>
  <c r="B58" i="14"/>
  <c r="B55" i="14"/>
  <c r="B44" i="14"/>
  <c r="B41" i="14"/>
  <c r="B38" i="14"/>
  <c r="H13" i="14"/>
  <c r="H12" i="14"/>
  <c r="D12" i="14"/>
  <c r="D13" i="14" s="1"/>
  <c r="H11" i="14"/>
  <c r="D11" i="14"/>
  <c r="E118" i="2"/>
  <c r="E119" i="2"/>
  <c r="E120" i="2"/>
  <c r="E121" i="2"/>
  <c r="E122" i="2"/>
  <c r="E123" i="2"/>
  <c r="E124" i="2"/>
  <c r="E125" i="2"/>
  <c r="E126" i="2"/>
  <c r="E127" i="2"/>
  <c r="E128" i="2"/>
  <c r="E129" i="2"/>
  <c r="E130" i="2"/>
  <c r="E131" i="2"/>
  <c r="E117" i="2"/>
  <c r="B58" i="13"/>
  <c r="B55" i="13"/>
  <c r="B44" i="13"/>
  <c r="B41" i="13"/>
  <c r="B38" i="13"/>
  <c r="H13" i="13"/>
  <c r="H12" i="13"/>
  <c r="D12" i="13"/>
  <c r="H11" i="13"/>
  <c r="D11" i="13"/>
  <c r="H13" i="12"/>
  <c r="H12" i="12"/>
  <c r="D12" i="12"/>
  <c r="H11" i="12"/>
  <c r="D11" i="12"/>
  <c r="W29" i="16" l="1"/>
  <c r="W30" i="16" s="1"/>
  <c r="W31" i="16" s="1"/>
  <c r="W32" i="16" s="1"/>
  <c r="W33" i="16" s="1"/>
  <c r="W34" i="16" s="1"/>
  <c r="W35" i="16" s="1"/>
  <c r="W36" i="16" s="1"/>
  <c r="W37" i="16" s="1"/>
  <c r="W38" i="16" s="1"/>
  <c r="W39" i="16" s="1"/>
  <c r="W40" i="16" s="1"/>
  <c r="W41" i="16" s="1"/>
  <c r="W42" i="16" s="1"/>
  <c r="W43" i="16" s="1"/>
  <c r="W44" i="16" s="1"/>
  <c r="W45" i="16" s="1"/>
  <c r="W46" i="16" s="1"/>
  <c r="W47" i="16" s="1"/>
  <c r="W48" i="16" s="1"/>
  <c r="W49" i="16" s="1"/>
  <c r="W50" i="16" s="1"/>
  <c r="W51" i="16" s="1"/>
  <c r="W52" i="16" s="1"/>
  <c r="W53" i="16" s="1"/>
  <c r="W54" i="16" s="1"/>
  <c r="W55" i="16" s="1"/>
  <c r="W56" i="16" s="1"/>
  <c r="W57" i="16" s="1"/>
  <c r="W58" i="16" s="1"/>
  <c r="W59" i="16" s="1"/>
  <c r="W60" i="16" s="1"/>
  <c r="W61" i="16" s="1"/>
  <c r="W62" i="16" s="1"/>
  <c r="W63" i="16" s="1"/>
  <c r="W64" i="16" s="1"/>
  <c r="W65" i="16" s="1"/>
  <c r="W66" i="16" s="1"/>
  <c r="W67" i="16" s="1"/>
  <c r="W68" i="16" s="1"/>
  <c r="W69" i="16" s="1"/>
  <c r="W70" i="16" s="1"/>
  <c r="W71" i="16" s="1"/>
  <c r="W72" i="16" s="1"/>
  <c r="W73" i="16" s="1"/>
  <c r="W74" i="16" s="1"/>
  <c r="W75" i="16" s="1"/>
  <c r="W76" i="16" s="1"/>
  <c r="W77" i="16" s="1"/>
  <c r="W78" i="16" s="1"/>
  <c r="W79" i="16" s="1"/>
  <c r="W80" i="16" s="1"/>
  <c r="W81" i="16" s="1"/>
  <c r="W82" i="16" s="1"/>
  <c r="W83" i="16" s="1"/>
  <c r="W84" i="16" s="1"/>
  <c r="W85" i="16" s="1"/>
  <c r="W86" i="16" s="1"/>
  <c r="W87" i="16" s="1"/>
  <c r="W88" i="16" s="1"/>
  <c r="W89" i="16" s="1"/>
  <c r="W90" i="16" s="1"/>
  <c r="W91" i="16" s="1"/>
  <c r="W92" i="16" s="1"/>
  <c r="W93" i="16" s="1"/>
  <c r="W94" i="16" s="1"/>
  <c r="W95" i="16" s="1"/>
  <c r="W96" i="16" s="1"/>
  <c r="W97" i="16" s="1"/>
  <c r="W98" i="16" s="1"/>
  <c r="W99" i="16" s="1"/>
  <c r="W100" i="16" s="1"/>
  <c r="W101" i="16" s="1"/>
  <c r="W102" i="16" s="1"/>
  <c r="W103" i="16" s="1"/>
  <c r="W104" i="16" s="1"/>
  <c r="W105" i="16" s="1"/>
  <c r="W106" i="16" s="1"/>
  <c r="W107" i="16" s="1"/>
  <c r="W108" i="16" s="1"/>
  <c r="W109" i="16" s="1"/>
  <c r="W110" i="16" s="1"/>
  <c r="W111" i="16" s="1"/>
  <c r="W112" i="16" s="1"/>
  <c r="W113" i="16" s="1"/>
  <c r="W114" i="16" s="1"/>
  <c r="W115" i="16" s="1"/>
  <c r="W116" i="16" s="1"/>
  <c r="W117" i="16" s="1"/>
  <c r="W118" i="16" s="1"/>
  <c r="W119" i="16" s="1"/>
  <c r="W120" i="16" s="1"/>
  <c r="W121" i="16" s="1"/>
  <c r="W122" i="16" s="1"/>
  <c r="W123" i="16" s="1"/>
  <c r="W124" i="16" s="1"/>
  <c r="W125" i="16" s="1"/>
  <c r="W126" i="16" s="1"/>
  <c r="W127" i="16" s="1"/>
  <c r="W128" i="16" s="1"/>
  <c r="W129" i="16" s="1"/>
  <c r="W130" i="16" s="1"/>
  <c r="W131" i="16" s="1"/>
  <c r="W132" i="16" s="1"/>
  <c r="W133" i="16" s="1"/>
  <c r="W134" i="16" s="1"/>
  <c r="W135" i="16" s="1"/>
  <c r="W136" i="16" s="1"/>
  <c r="W137" i="16" s="1"/>
  <c r="W138" i="16" s="1"/>
  <c r="W139" i="16" s="1"/>
  <c r="W140" i="16" s="1"/>
  <c r="W141" i="16" s="1"/>
  <c r="W142" i="16" s="1"/>
  <c r="W143" i="16" s="1"/>
  <c r="W144" i="16" s="1"/>
  <c r="W145" i="16" s="1"/>
  <c r="W146" i="16" s="1"/>
  <c r="W147" i="16" s="1"/>
  <c r="W148" i="16" s="1"/>
  <c r="W149" i="16" s="1"/>
  <c r="W150" i="16" s="1"/>
  <c r="W151" i="16" s="1"/>
  <c r="W152" i="16" s="1"/>
  <c r="W153" i="16" s="1"/>
  <c r="W154" i="16" s="1"/>
  <c r="W155" i="16" s="1"/>
  <c r="W156" i="16" s="1"/>
  <c r="W157" i="16" s="1"/>
  <c r="W158" i="16" s="1"/>
  <c r="W159" i="16" s="1"/>
  <c r="W160" i="16" s="1"/>
  <c r="W161" i="16" s="1"/>
  <c r="W162" i="16" s="1"/>
  <c r="W163" i="16" s="1"/>
  <c r="W164" i="16" s="1"/>
  <c r="W165" i="16" s="1"/>
  <c r="W166" i="16" s="1"/>
  <c r="W167" i="16" s="1"/>
  <c r="W168" i="16" s="1"/>
  <c r="W169" i="16" s="1"/>
  <c r="W170" i="16" s="1"/>
  <c r="W171" i="16" s="1"/>
  <c r="W172" i="16" s="1"/>
  <c r="W173" i="16" s="1"/>
  <c r="W174" i="16" s="1"/>
  <c r="W175" i="16" s="1"/>
  <c r="W176" i="16" s="1"/>
  <c r="W177" i="16" s="1"/>
  <c r="W178" i="16" s="1"/>
  <c r="W179" i="16" s="1"/>
  <c r="W180" i="16" s="1"/>
  <c r="W181" i="16" s="1"/>
  <c r="W182" i="16" s="1"/>
  <c r="W183" i="16" s="1"/>
  <c r="W184" i="16" s="1"/>
  <c r="W185" i="16" s="1"/>
  <c r="W186" i="16" s="1"/>
  <c r="W187" i="16" s="1"/>
  <c r="W188" i="16" s="1"/>
  <c r="W189" i="16" s="1"/>
  <c r="W190" i="16" s="1"/>
  <c r="W191" i="16" s="1"/>
  <c r="W192" i="16" s="1"/>
  <c r="W193" i="16" s="1"/>
  <c r="W194" i="16" s="1"/>
  <c r="W195" i="16" s="1"/>
  <c r="W196" i="16" s="1"/>
  <c r="W197" i="16" s="1"/>
  <c r="W198" i="16" s="1"/>
  <c r="W199" i="16" s="1"/>
  <c r="W200" i="16" s="1"/>
  <c r="W201" i="16" s="1"/>
  <c r="W202" i="16" s="1"/>
  <c r="W203" i="16" s="1"/>
  <c r="W204" i="16" s="1"/>
  <c r="W205" i="16" s="1"/>
  <c r="W206" i="16" s="1"/>
  <c r="W207" i="16" s="1"/>
  <c r="W208" i="16" s="1"/>
  <c r="W209" i="16" s="1"/>
  <c r="W210" i="16" s="1"/>
  <c r="W211" i="16" s="1"/>
  <c r="W212" i="16" s="1"/>
  <c r="W213" i="16" s="1"/>
  <c r="W214" i="16" s="1"/>
  <c r="W215" i="16" s="1"/>
  <c r="W216" i="16" s="1"/>
  <c r="W217" i="16" s="1"/>
  <c r="W218" i="16" s="1"/>
  <c r="W219" i="16" s="1"/>
  <c r="W220" i="16" s="1"/>
  <c r="W221" i="16" s="1"/>
  <c r="W222" i="16" s="1"/>
  <c r="W223" i="16" s="1"/>
  <c r="W224" i="16" s="1"/>
  <c r="W225" i="16" s="1"/>
  <c r="W226" i="16" s="1"/>
  <c r="W227" i="16" s="1"/>
  <c r="W228" i="16" s="1"/>
  <c r="W229" i="16" s="1"/>
  <c r="W230" i="16" s="1"/>
  <c r="AN8" i="16"/>
  <c r="AQ8" i="16" s="1"/>
  <c r="AN5" i="16"/>
  <c r="AQ5" i="16" s="1"/>
  <c r="AN9" i="16"/>
  <c r="AQ9" i="16" s="1"/>
  <c r="L15" i="16"/>
  <c r="R15" i="16"/>
  <c r="AH7" i="16"/>
  <c r="AK7" i="16" s="1"/>
  <c r="AH6" i="16"/>
  <c r="AK6" i="16" s="1"/>
  <c r="AH9" i="16"/>
  <c r="AK9" i="16" s="1"/>
  <c r="AH5" i="16"/>
  <c r="AK5" i="16" s="1"/>
  <c r="AH8" i="16"/>
  <c r="AK8" i="16" s="1"/>
  <c r="AH4" i="16"/>
  <c r="AZ8" i="16"/>
  <c r="BC8" i="16" s="1"/>
  <c r="AZ4" i="16"/>
  <c r="AZ7" i="16"/>
  <c r="BC7" i="16" s="1"/>
  <c r="AZ5" i="16"/>
  <c r="BC5" i="16" s="1"/>
  <c r="AZ6" i="16"/>
  <c r="BC6" i="16" s="1"/>
  <c r="BF9" i="16"/>
  <c r="BI9" i="16" s="1"/>
  <c r="BF5" i="16"/>
  <c r="BI5" i="16" s="1"/>
  <c r="BF8" i="16"/>
  <c r="BI8" i="16" s="1"/>
  <c r="BF4" i="16"/>
  <c r="BF7" i="16"/>
  <c r="BI7" i="16" s="1"/>
  <c r="BF6" i="16"/>
  <c r="BI6" i="16" s="1"/>
  <c r="BL4" i="16"/>
  <c r="BL5" i="16"/>
  <c r="BO5" i="16" s="1"/>
  <c r="BL6" i="16"/>
  <c r="BO6" i="16" s="1"/>
  <c r="BR7" i="16"/>
  <c r="BU7" i="16" s="1"/>
  <c r="BR5" i="16"/>
  <c r="BU5" i="16" s="1"/>
  <c r="BR9" i="16"/>
  <c r="BU9" i="16" s="1"/>
  <c r="BR6" i="16"/>
  <c r="BU6" i="16" s="1"/>
  <c r="BR8" i="16"/>
  <c r="BU8" i="16" s="1"/>
  <c r="BR4" i="16"/>
  <c r="BX6" i="16"/>
  <c r="CA6" i="16" s="1"/>
  <c r="BX5" i="16"/>
  <c r="CA5" i="16" s="1"/>
  <c r="BX4" i="16"/>
  <c r="D153" i="4" s="1"/>
  <c r="L16" i="16"/>
  <c r="J6" i="16"/>
  <c r="M6" i="16" s="1"/>
  <c r="L66" i="16" s="1"/>
  <c r="J5" i="16"/>
  <c r="J7" i="16"/>
  <c r="M7" i="16" s="1"/>
  <c r="L136" i="16" s="1"/>
  <c r="J4" i="16"/>
  <c r="CD7" i="16"/>
  <c r="CG7" i="16" s="1"/>
  <c r="CD6" i="16"/>
  <c r="CG6" i="16" s="1"/>
  <c r="CD5" i="16"/>
  <c r="CG5" i="16" s="1"/>
  <c r="CD4" i="16"/>
  <c r="P4" i="16"/>
  <c r="P5" i="16"/>
  <c r="S5" i="16" s="1"/>
  <c r="R44" i="16" s="1"/>
  <c r="P6" i="16"/>
  <c r="S6" i="16" s="1"/>
  <c r="R81" i="16" s="1"/>
  <c r="P7" i="16"/>
  <c r="S7" i="16" s="1"/>
  <c r="P8" i="16"/>
  <c r="S8" i="16" s="1"/>
  <c r="R135" i="16" s="1"/>
  <c r="CJ7" i="16"/>
  <c r="CM7" i="16" s="1"/>
  <c r="CJ6" i="16"/>
  <c r="CM6" i="16" s="1"/>
  <c r="CJ5" i="16"/>
  <c r="CM5" i="16" s="1"/>
  <c r="CJ8" i="16"/>
  <c r="CM8" i="16" s="1"/>
  <c r="CJ4" i="16"/>
  <c r="D174" i="4" s="1"/>
  <c r="V7" i="16"/>
  <c r="Y7" i="16" s="1"/>
  <c r="V4" i="16"/>
  <c r="D38" i="4" s="1"/>
  <c r="V6" i="16"/>
  <c r="Y6" i="16" s="1"/>
  <c r="V5" i="16"/>
  <c r="Y5" i="16" s="1"/>
  <c r="CP6" i="16"/>
  <c r="CS6" i="16" s="1"/>
  <c r="CP5" i="16"/>
  <c r="CS5" i="16" s="1"/>
  <c r="CP7" i="16"/>
  <c r="CS7" i="16" s="1"/>
  <c r="CP4" i="16"/>
  <c r="P16" i="16"/>
  <c r="R16" i="16" s="1"/>
  <c r="AB4" i="16"/>
  <c r="D49" i="4" s="1"/>
  <c r="AB8" i="16"/>
  <c r="AE8" i="16" s="1"/>
  <c r="AN6" i="16"/>
  <c r="AQ6" i="16" s="1"/>
  <c r="AN10" i="16"/>
  <c r="AQ10" i="16" s="1"/>
  <c r="AB5" i="16"/>
  <c r="AE5" i="16" s="1"/>
  <c r="AV15" i="16"/>
  <c r="F45" i="16"/>
  <c r="AN7" i="16"/>
  <c r="AQ7" i="16" s="1"/>
  <c r="AB6" i="16"/>
  <c r="AE6" i="16" s="1"/>
  <c r="AN4" i="16"/>
  <c r="E77" i="4" s="1"/>
  <c r="AT7" i="16"/>
  <c r="AW7" i="16" s="1"/>
  <c r="AT6" i="16"/>
  <c r="AW6" i="16" s="1"/>
  <c r="AT5" i="16"/>
  <c r="AW5" i="16" s="1"/>
  <c r="AT8" i="16"/>
  <c r="AW8" i="16" s="1"/>
  <c r="AT4" i="16"/>
  <c r="E88" i="4" s="1"/>
  <c r="E183" i="4"/>
  <c r="D184" i="4"/>
  <c r="D149" i="4"/>
  <c r="D128" i="4"/>
  <c r="D126" i="4"/>
  <c r="E126" i="4"/>
  <c r="D99" i="4"/>
  <c r="E99" i="4"/>
  <c r="D102" i="4"/>
  <c r="D101" i="4"/>
  <c r="E90" i="4"/>
  <c r="D65" i="4"/>
  <c r="E65" i="4"/>
  <c r="D52" i="4"/>
  <c r="E27" i="4"/>
  <c r="E29" i="4"/>
  <c r="R105" i="16"/>
  <c r="R104" i="16"/>
  <c r="R103" i="16"/>
  <c r="R43" i="16"/>
  <c r="R102" i="16"/>
  <c r="R42" i="16"/>
  <c r="D27" i="4"/>
  <c r="L88" i="16"/>
  <c r="L100" i="16"/>
  <c r="L112" i="16"/>
  <c r="L124" i="16"/>
  <c r="L148" i="16"/>
  <c r="L77" i="16"/>
  <c r="L89" i="16"/>
  <c r="L101" i="16"/>
  <c r="L113" i="16"/>
  <c r="L137" i="16"/>
  <c r="L78" i="16"/>
  <c r="L90" i="16"/>
  <c r="L102" i="16"/>
  <c r="L114" i="16"/>
  <c r="L138" i="16"/>
  <c r="L79" i="16"/>
  <c r="L91" i="16"/>
  <c r="L103" i="16"/>
  <c r="L115" i="16"/>
  <c r="L127" i="16"/>
  <c r="L139" i="16"/>
  <c r="L80" i="16"/>
  <c r="L92" i="16"/>
  <c r="L104" i="16"/>
  <c r="L116" i="16"/>
  <c r="L140" i="16"/>
  <c r="L81" i="16"/>
  <c r="L93" i="16"/>
  <c r="L105" i="16"/>
  <c r="L117" i="16"/>
  <c r="L129" i="16"/>
  <c r="L141" i="16"/>
  <c r="L82" i="16"/>
  <c r="L94" i="16"/>
  <c r="L106" i="16"/>
  <c r="L118" i="16"/>
  <c r="L130" i="16"/>
  <c r="L142" i="16"/>
  <c r="L83" i="16"/>
  <c r="L95" i="16"/>
  <c r="L107" i="16"/>
  <c r="L119" i="16"/>
  <c r="L131" i="16"/>
  <c r="L143" i="16"/>
  <c r="L84" i="16"/>
  <c r="L96" i="16"/>
  <c r="L108" i="16"/>
  <c r="L120" i="16"/>
  <c r="L132" i="16"/>
  <c r="L144" i="16"/>
  <c r="L85" i="16"/>
  <c r="L97" i="16"/>
  <c r="L109" i="16"/>
  <c r="L121" i="16"/>
  <c r="L133" i="16"/>
  <c r="L145" i="16"/>
  <c r="L86" i="16"/>
  <c r="L98" i="16"/>
  <c r="L110" i="16"/>
  <c r="L122" i="16"/>
  <c r="L134" i="16"/>
  <c r="L146" i="16"/>
  <c r="L87" i="16"/>
  <c r="L99" i="16"/>
  <c r="L111" i="16"/>
  <c r="L123" i="16"/>
  <c r="L135" i="16"/>
  <c r="L147" i="16"/>
  <c r="L54" i="16"/>
  <c r="L60" i="16"/>
  <c r="E17" i="4"/>
  <c r="M5" i="16"/>
  <c r="B31" i="2"/>
  <c r="CQ22" i="16"/>
  <c r="CQ23" i="16" s="1"/>
  <c r="CQ24" i="16" s="1"/>
  <c r="CQ25" i="16" s="1"/>
  <c r="CQ26" i="16" s="1"/>
  <c r="CQ27" i="16" s="1"/>
  <c r="CQ28" i="16" s="1"/>
  <c r="CQ29" i="16" s="1"/>
  <c r="CQ30" i="16" s="1"/>
  <c r="CQ31" i="16" s="1"/>
  <c r="CQ32" i="16" s="1"/>
  <c r="CQ33" i="16" s="1"/>
  <c r="CQ34" i="16" s="1"/>
  <c r="CQ35" i="16" s="1"/>
  <c r="CQ36" i="16" s="1"/>
  <c r="CQ37" i="16" s="1"/>
  <c r="CQ38" i="16" s="1"/>
  <c r="CQ39" i="16" s="1"/>
  <c r="CQ40" i="16" s="1"/>
  <c r="CQ41" i="16" s="1"/>
  <c r="CQ42" i="16" s="1"/>
  <c r="CQ43" i="16" s="1"/>
  <c r="CQ44" i="16" s="1"/>
  <c r="CQ45" i="16" s="1"/>
  <c r="CQ46" i="16" s="1"/>
  <c r="CQ47" i="16" s="1"/>
  <c r="CQ48" i="16" s="1"/>
  <c r="CQ49" i="16" s="1"/>
  <c r="CQ50" i="16" s="1"/>
  <c r="CQ51" i="16" s="1"/>
  <c r="CQ52" i="16" s="1"/>
  <c r="CQ53" i="16" s="1"/>
  <c r="CQ54" i="16" s="1"/>
  <c r="CQ55" i="16" s="1"/>
  <c r="CQ56" i="16" s="1"/>
  <c r="CQ57" i="16" s="1"/>
  <c r="CQ58" i="16" s="1"/>
  <c r="CQ59" i="16" s="1"/>
  <c r="CQ60" i="16" s="1"/>
  <c r="CQ61" i="16" s="1"/>
  <c r="CQ62" i="16" s="1"/>
  <c r="CQ63" i="16" s="1"/>
  <c r="CQ64" i="16" s="1"/>
  <c r="CQ65" i="16" s="1"/>
  <c r="CQ66" i="16" s="1"/>
  <c r="CQ67" i="16" s="1"/>
  <c r="CQ68" i="16" s="1"/>
  <c r="CQ69" i="16" s="1"/>
  <c r="CQ70" i="16" s="1"/>
  <c r="CQ71" i="16" s="1"/>
  <c r="CQ72" i="16" s="1"/>
  <c r="CQ73" i="16" s="1"/>
  <c r="CQ74" i="16" s="1"/>
  <c r="CQ75" i="16" s="1"/>
  <c r="CQ76" i="16" s="1"/>
  <c r="CQ77" i="16" s="1"/>
  <c r="CQ78" i="16" s="1"/>
  <c r="CQ79" i="16" s="1"/>
  <c r="CQ80" i="16" s="1"/>
  <c r="CQ81" i="16" s="1"/>
  <c r="CQ82" i="16" s="1"/>
  <c r="CQ83" i="16" s="1"/>
  <c r="CQ84" i="16" s="1"/>
  <c r="CQ85" i="16" s="1"/>
  <c r="CQ86" i="16" s="1"/>
  <c r="CQ87" i="16" s="1"/>
  <c r="CQ88" i="16" s="1"/>
  <c r="CQ89" i="16" s="1"/>
  <c r="CQ90" i="16" s="1"/>
  <c r="CQ91" i="16" s="1"/>
  <c r="CQ92" i="16" s="1"/>
  <c r="CQ93" i="16" s="1"/>
  <c r="CQ94" i="16" s="1"/>
  <c r="CQ95" i="16" s="1"/>
  <c r="CQ96" i="16" s="1"/>
  <c r="CQ97" i="16" s="1"/>
  <c r="CQ98" i="16" s="1"/>
  <c r="CQ99" i="16" s="1"/>
  <c r="CQ100" i="16" s="1"/>
  <c r="CQ101" i="16" s="1"/>
  <c r="CQ102" i="16" s="1"/>
  <c r="CQ103" i="16" s="1"/>
  <c r="CQ104" i="16" s="1"/>
  <c r="CQ105" i="16" s="1"/>
  <c r="CQ106" i="16" s="1"/>
  <c r="CQ107" i="16" s="1"/>
  <c r="CQ108" i="16" s="1"/>
  <c r="CQ109" i="16" s="1"/>
  <c r="CQ110" i="16" s="1"/>
  <c r="CQ111" i="16" s="1"/>
  <c r="CQ112" i="16" s="1"/>
  <c r="CQ113" i="16" s="1"/>
  <c r="CQ114" i="16" s="1"/>
  <c r="CQ115" i="16" s="1"/>
  <c r="CQ116" i="16" s="1"/>
  <c r="CQ117" i="16" s="1"/>
  <c r="CQ118" i="16" s="1"/>
  <c r="CQ119" i="16" s="1"/>
  <c r="CQ120" i="16" s="1"/>
  <c r="CQ121" i="16" s="1"/>
  <c r="CQ122" i="16" s="1"/>
  <c r="CQ123" i="16" s="1"/>
  <c r="CQ124" i="16" s="1"/>
  <c r="CQ125" i="16" s="1"/>
  <c r="CQ126" i="16" s="1"/>
  <c r="CQ127" i="16" s="1"/>
  <c r="CQ128" i="16" s="1"/>
  <c r="CQ129" i="16" s="1"/>
  <c r="CQ130" i="16" s="1"/>
  <c r="CQ131" i="16" s="1"/>
  <c r="CQ132" i="16" s="1"/>
  <c r="CQ133" i="16" s="1"/>
  <c r="CQ134" i="16" s="1"/>
  <c r="CQ135" i="16" s="1"/>
  <c r="CQ136" i="16" s="1"/>
  <c r="CQ137" i="16" s="1"/>
  <c r="CQ138" i="16" s="1"/>
  <c r="CQ139" i="16" s="1"/>
  <c r="CQ140" i="16" s="1"/>
  <c r="CQ141" i="16" s="1"/>
  <c r="CQ142" i="16" s="1"/>
  <c r="CQ143" i="16" s="1"/>
  <c r="CQ144" i="16" s="1"/>
  <c r="CQ145" i="16" s="1"/>
  <c r="CQ146" i="16" s="1"/>
  <c r="CQ147" i="16" s="1"/>
  <c r="CQ148" i="16" s="1"/>
  <c r="CQ149" i="16" s="1"/>
  <c r="CQ150" i="16" s="1"/>
  <c r="CQ151" i="16" s="1"/>
  <c r="CQ152" i="16" s="1"/>
  <c r="CQ153" i="16" s="1"/>
  <c r="CQ154" i="16" s="1"/>
  <c r="CQ155" i="16" s="1"/>
  <c r="CQ156" i="16" s="1"/>
  <c r="CQ157" i="16" s="1"/>
  <c r="CQ158" i="16" s="1"/>
  <c r="CQ159" i="16" s="1"/>
  <c r="CQ160" i="16" s="1"/>
  <c r="CQ161" i="16" s="1"/>
  <c r="CQ162" i="16" s="1"/>
  <c r="CQ163" i="16" s="1"/>
  <c r="CQ164" i="16" s="1"/>
  <c r="CQ165" i="16" s="1"/>
  <c r="CQ166" i="16" s="1"/>
  <c r="CQ167" i="16" s="1"/>
  <c r="CQ168" i="16" s="1"/>
  <c r="CQ169" i="16" s="1"/>
  <c r="CQ170" i="16" s="1"/>
  <c r="CQ171" i="16" s="1"/>
  <c r="CQ172" i="16" s="1"/>
  <c r="CQ173" i="16" s="1"/>
  <c r="CQ174" i="16" s="1"/>
  <c r="CQ175" i="16" s="1"/>
  <c r="CQ176" i="16" s="1"/>
  <c r="CQ177" i="16" s="1"/>
  <c r="CQ178" i="16" s="1"/>
  <c r="CQ179" i="16" s="1"/>
  <c r="CQ180" i="16" s="1"/>
  <c r="CQ181" i="16" s="1"/>
  <c r="CQ182" i="16" s="1"/>
  <c r="CQ183" i="16" s="1"/>
  <c r="CQ184" i="16" s="1"/>
  <c r="CQ185" i="16" s="1"/>
  <c r="CQ186" i="16" s="1"/>
  <c r="CQ187" i="16" s="1"/>
  <c r="CQ188" i="16" s="1"/>
  <c r="CQ189" i="16" s="1"/>
  <c r="CQ190" i="16" s="1"/>
  <c r="CQ191" i="16" s="1"/>
  <c r="CQ192" i="16" s="1"/>
  <c r="CQ193" i="16" s="1"/>
  <c r="CQ194" i="16" s="1"/>
  <c r="CQ195" i="16" s="1"/>
  <c r="CQ196" i="16" s="1"/>
  <c r="CQ197" i="16" s="1"/>
  <c r="CQ198" i="16" s="1"/>
  <c r="CQ199" i="16" s="1"/>
  <c r="CQ200" i="16" s="1"/>
  <c r="CQ201" i="16" s="1"/>
  <c r="CQ202" i="16" s="1"/>
  <c r="CQ203" i="16" s="1"/>
  <c r="CQ204" i="16" s="1"/>
  <c r="CQ205" i="16" s="1"/>
  <c r="CQ206" i="16" s="1"/>
  <c r="CQ207" i="16" s="1"/>
  <c r="CQ208" i="16" s="1"/>
  <c r="CQ209" i="16" s="1"/>
  <c r="CQ210" i="16" s="1"/>
  <c r="CQ211" i="16" s="1"/>
  <c r="CQ212" i="16" s="1"/>
  <c r="CQ213" i="16" s="1"/>
  <c r="CQ214" i="16" s="1"/>
  <c r="CQ215" i="16" s="1"/>
  <c r="CQ216" i="16" s="1"/>
  <c r="CQ217" i="16" s="1"/>
  <c r="CQ218" i="16" s="1"/>
  <c r="CQ219" i="16" s="1"/>
  <c r="CQ220" i="16" s="1"/>
  <c r="CQ221" i="16" s="1"/>
  <c r="CQ222" i="16" s="1"/>
  <c r="CQ223" i="16" s="1"/>
  <c r="CQ224" i="16" s="1"/>
  <c r="CQ225" i="16" s="1"/>
  <c r="CQ226" i="16" s="1"/>
  <c r="CQ227" i="16" s="1"/>
  <c r="CQ228" i="16" s="1"/>
  <c r="CQ229" i="16" s="1"/>
  <c r="CQ230" i="16" s="1"/>
  <c r="CE26" i="16"/>
  <c r="CE27" i="16" s="1"/>
  <c r="CE28" i="16" s="1"/>
  <c r="CE29" i="16" s="1"/>
  <c r="CE30" i="16" s="1"/>
  <c r="CE31" i="16" s="1"/>
  <c r="CE32" i="16" s="1"/>
  <c r="CE33" i="16" s="1"/>
  <c r="CE34" i="16" s="1"/>
  <c r="CE35" i="16" s="1"/>
  <c r="CE36" i="16" s="1"/>
  <c r="CE37" i="16" s="1"/>
  <c r="CE38" i="16" s="1"/>
  <c r="CE39" i="16" s="1"/>
  <c r="CE40" i="16" s="1"/>
  <c r="CE41" i="16" s="1"/>
  <c r="CE42" i="16" s="1"/>
  <c r="CE43" i="16" s="1"/>
  <c r="CE44" i="16" s="1"/>
  <c r="CE45" i="16" s="1"/>
  <c r="CE46" i="16" s="1"/>
  <c r="CE47" i="16" s="1"/>
  <c r="CE48" i="16" s="1"/>
  <c r="CE49" i="16" s="1"/>
  <c r="CE50" i="16" s="1"/>
  <c r="CE51" i="16" s="1"/>
  <c r="CE52" i="16" s="1"/>
  <c r="CE53" i="16" s="1"/>
  <c r="CE54" i="16" s="1"/>
  <c r="CE55" i="16" s="1"/>
  <c r="CE56" i="16" s="1"/>
  <c r="CE57" i="16" s="1"/>
  <c r="CE58" i="16" s="1"/>
  <c r="CE59" i="16" s="1"/>
  <c r="CE60" i="16" s="1"/>
  <c r="CE61" i="16" s="1"/>
  <c r="CE62" i="16" s="1"/>
  <c r="CE63" i="16" s="1"/>
  <c r="CE64" i="16" s="1"/>
  <c r="CE65" i="16" s="1"/>
  <c r="CE66" i="16" s="1"/>
  <c r="CE67" i="16" s="1"/>
  <c r="CE68" i="16" s="1"/>
  <c r="CE69" i="16" s="1"/>
  <c r="CE70" i="16" s="1"/>
  <c r="CE71" i="16" s="1"/>
  <c r="CE72" i="16" s="1"/>
  <c r="CE73" i="16" s="1"/>
  <c r="CE74" i="16" s="1"/>
  <c r="CE75" i="16" s="1"/>
  <c r="CE76" i="16" s="1"/>
  <c r="CE77" i="16" s="1"/>
  <c r="CE78" i="16" s="1"/>
  <c r="CE79" i="16" s="1"/>
  <c r="CE80" i="16" s="1"/>
  <c r="CE81" i="16" s="1"/>
  <c r="CE82" i="16" s="1"/>
  <c r="CE83" i="16" s="1"/>
  <c r="CE84" i="16" s="1"/>
  <c r="CE85" i="16" s="1"/>
  <c r="CE86" i="16" s="1"/>
  <c r="CE87" i="16" s="1"/>
  <c r="CE88" i="16" s="1"/>
  <c r="CE89" i="16" s="1"/>
  <c r="CE90" i="16" s="1"/>
  <c r="CE91" i="16" s="1"/>
  <c r="CE92" i="16" s="1"/>
  <c r="CE93" i="16" s="1"/>
  <c r="CE94" i="16" s="1"/>
  <c r="CE95" i="16" s="1"/>
  <c r="CE96" i="16" s="1"/>
  <c r="CE97" i="16" s="1"/>
  <c r="CE98" i="16" s="1"/>
  <c r="CE99" i="16" s="1"/>
  <c r="CE100" i="16" s="1"/>
  <c r="CE101" i="16" s="1"/>
  <c r="CE102" i="16" s="1"/>
  <c r="CE103" i="16" s="1"/>
  <c r="CE104" i="16" s="1"/>
  <c r="CE105" i="16" s="1"/>
  <c r="CE106" i="16" s="1"/>
  <c r="CE107" i="16" s="1"/>
  <c r="CE108" i="16" s="1"/>
  <c r="CE109" i="16" s="1"/>
  <c r="CE110" i="16" s="1"/>
  <c r="CE111" i="16" s="1"/>
  <c r="CE112" i="16" s="1"/>
  <c r="CE113" i="16" s="1"/>
  <c r="CE114" i="16" s="1"/>
  <c r="CE115" i="16" s="1"/>
  <c r="CE116" i="16" s="1"/>
  <c r="CE117" i="16" s="1"/>
  <c r="CE118" i="16" s="1"/>
  <c r="CE119" i="16" s="1"/>
  <c r="CE120" i="16" s="1"/>
  <c r="CE121" i="16" s="1"/>
  <c r="CE122" i="16" s="1"/>
  <c r="CE123" i="16" s="1"/>
  <c r="CE124" i="16" s="1"/>
  <c r="CE125" i="16" s="1"/>
  <c r="CE126" i="16" s="1"/>
  <c r="CE127" i="16" s="1"/>
  <c r="CE128" i="16" s="1"/>
  <c r="CE129" i="16" s="1"/>
  <c r="CE130" i="16" s="1"/>
  <c r="CE131" i="16" s="1"/>
  <c r="CE132" i="16" s="1"/>
  <c r="CE133" i="16" s="1"/>
  <c r="CE134" i="16" s="1"/>
  <c r="CE135" i="16" s="1"/>
  <c r="CE136" i="16" s="1"/>
  <c r="CE137" i="16" s="1"/>
  <c r="CE138" i="16" s="1"/>
  <c r="CE139" i="16" s="1"/>
  <c r="CE140" i="16" s="1"/>
  <c r="CE141" i="16" s="1"/>
  <c r="CE142" i="16" s="1"/>
  <c r="CE143" i="16" s="1"/>
  <c r="CE144" i="16" s="1"/>
  <c r="CE145" i="16" s="1"/>
  <c r="CE146" i="16" s="1"/>
  <c r="CE147" i="16" s="1"/>
  <c r="CE148" i="16" s="1"/>
  <c r="CE149" i="16" s="1"/>
  <c r="CE150" i="16" s="1"/>
  <c r="CE151" i="16" s="1"/>
  <c r="CE152" i="16" s="1"/>
  <c r="CE153" i="16" s="1"/>
  <c r="CE154" i="16" s="1"/>
  <c r="CE155" i="16" s="1"/>
  <c r="CE156" i="16" s="1"/>
  <c r="CE157" i="16" s="1"/>
  <c r="CE158" i="16" s="1"/>
  <c r="CE159" i="16" s="1"/>
  <c r="CE160" i="16" s="1"/>
  <c r="CE161" i="16" s="1"/>
  <c r="CE162" i="16" s="1"/>
  <c r="CE163" i="16" s="1"/>
  <c r="CE164" i="16" s="1"/>
  <c r="CE165" i="16" s="1"/>
  <c r="CE166" i="16" s="1"/>
  <c r="CE167" i="16" s="1"/>
  <c r="CE168" i="16" s="1"/>
  <c r="CE169" i="16" s="1"/>
  <c r="CE170" i="16" s="1"/>
  <c r="CE171" i="16" s="1"/>
  <c r="CE172" i="16" s="1"/>
  <c r="CE173" i="16" s="1"/>
  <c r="CE174" i="16" s="1"/>
  <c r="CE175" i="16" s="1"/>
  <c r="CE176" i="16" s="1"/>
  <c r="CE177" i="16" s="1"/>
  <c r="CE178" i="16" s="1"/>
  <c r="CE179" i="16" s="1"/>
  <c r="CE180" i="16" s="1"/>
  <c r="CE181" i="16" s="1"/>
  <c r="CE182" i="16" s="1"/>
  <c r="CE183" i="16" s="1"/>
  <c r="CE184" i="16" s="1"/>
  <c r="CE185" i="16" s="1"/>
  <c r="CE186" i="16" s="1"/>
  <c r="CE187" i="16" s="1"/>
  <c r="CE188" i="16" s="1"/>
  <c r="CE189" i="16" s="1"/>
  <c r="CE190" i="16" s="1"/>
  <c r="CE191" i="16" s="1"/>
  <c r="CE192" i="16" s="1"/>
  <c r="CE193" i="16" s="1"/>
  <c r="CE194" i="16" s="1"/>
  <c r="CE195" i="16" s="1"/>
  <c r="CE196" i="16" s="1"/>
  <c r="CE197" i="16" s="1"/>
  <c r="CE198" i="16" s="1"/>
  <c r="CE199" i="16" s="1"/>
  <c r="CE200" i="16" s="1"/>
  <c r="CE201" i="16" s="1"/>
  <c r="CE202" i="16" s="1"/>
  <c r="CE203" i="16" s="1"/>
  <c r="CE204" i="16" s="1"/>
  <c r="CE205" i="16" s="1"/>
  <c r="CE206" i="16" s="1"/>
  <c r="CE207" i="16" s="1"/>
  <c r="CE208" i="16" s="1"/>
  <c r="CE209" i="16" s="1"/>
  <c r="CE210" i="16" s="1"/>
  <c r="CE211" i="16" s="1"/>
  <c r="CE212" i="16" s="1"/>
  <c r="CE213" i="16" s="1"/>
  <c r="CE214" i="16" s="1"/>
  <c r="CE215" i="16" s="1"/>
  <c r="CE216" i="16" s="1"/>
  <c r="CE217" i="16" s="1"/>
  <c r="CE218" i="16" s="1"/>
  <c r="CE219" i="16" s="1"/>
  <c r="CE220" i="16" s="1"/>
  <c r="CE221" i="16" s="1"/>
  <c r="CE222" i="16" s="1"/>
  <c r="CE223" i="16" s="1"/>
  <c r="CE224" i="16" s="1"/>
  <c r="CE225" i="16" s="1"/>
  <c r="CE226" i="16" s="1"/>
  <c r="CE227" i="16" s="1"/>
  <c r="CE228" i="16" s="1"/>
  <c r="CE229" i="16" s="1"/>
  <c r="CE230" i="16" s="1"/>
  <c r="BY24" i="16"/>
  <c r="BY25" i="16" s="1"/>
  <c r="BY26" i="16" s="1"/>
  <c r="BY27" i="16" s="1"/>
  <c r="BY28" i="16" s="1"/>
  <c r="BY29" i="16" s="1"/>
  <c r="BY30" i="16" s="1"/>
  <c r="BY31" i="16" s="1"/>
  <c r="BY32" i="16" s="1"/>
  <c r="BY33" i="16" s="1"/>
  <c r="BY34" i="16" s="1"/>
  <c r="BY35" i="16" s="1"/>
  <c r="BY36" i="16" s="1"/>
  <c r="BY37" i="16" s="1"/>
  <c r="BY38" i="16" s="1"/>
  <c r="BY39" i="16" s="1"/>
  <c r="BY40" i="16" s="1"/>
  <c r="BY41" i="16" s="1"/>
  <c r="BY42" i="16" s="1"/>
  <c r="BY43" i="16" s="1"/>
  <c r="BY44" i="16" s="1"/>
  <c r="BY45" i="16" s="1"/>
  <c r="BY46" i="16" s="1"/>
  <c r="BY47" i="16" s="1"/>
  <c r="BY48" i="16" s="1"/>
  <c r="BY49" i="16" s="1"/>
  <c r="BY50" i="16" s="1"/>
  <c r="BY51" i="16" s="1"/>
  <c r="BY52" i="16" s="1"/>
  <c r="BY53" i="16" s="1"/>
  <c r="BY54" i="16" s="1"/>
  <c r="BY55" i="16" s="1"/>
  <c r="BY56" i="16" s="1"/>
  <c r="BY57" i="16" s="1"/>
  <c r="BY58" i="16" s="1"/>
  <c r="BY59" i="16" s="1"/>
  <c r="BY60" i="16" s="1"/>
  <c r="BY61" i="16" s="1"/>
  <c r="BY62" i="16" s="1"/>
  <c r="BY63" i="16" s="1"/>
  <c r="BY64" i="16" s="1"/>
  <c r="BY65" i="16" s="1"/>
  <c r="BY66" i="16" s="1"/>
  <c r="BY67" i="16" s="1"/>
  <c r="BY68" i="16" s="1"/>
  <c r="BY69" i="16" s="1"/>
  <c r="BY70" i="16" s="1"/>
  <c r="BY71" i="16" s="1"/>
  <c r="BY72" i="16" s="1"/>
  <c r="BY73" i="16" s="1"/>
  <c r="BY74" i="16" s="1"/>
  <c r="BY75" i="16" s="1"/>
  <c r="BY76" i="16" s="1"/>
  <c r="BY77" i="16" s="1"/>
  <c r="BY78" i="16" s="1"/>
  <c r="BY79" i="16" s="1"/>
  <c r="BY80" i="16" s="1"/>
  <c r="BY81" i="16" s="1"/>
  <c r="BY82" i="16" s="1"/>
  <c r="BY83" i="16" s="1"/>
  <c r="BY84" i="16" s="1"/>
  <c r="BY85" i="16" s="1"/>
  <c r="BY86" i="16" s="1"/>
  <c r="BY87" i="16" s="1"/>
  <c r="BY88" i="16" s="1"/>
  <c r="BY89" i="16" s="1"/>
  <c r="BY90" i="16" s="1"/>
  <c r="BY91" i="16" s="1"/>
  <c r="BY92" i="16" s="1"/>
  <c r="BY93" i="16" s="1"/>
  <c r="BY94" i="16" s="1"/>
  <c r="BY95" i="16" s="1"/>
  <c r="BY96" i="16" s="1"/>
  <c r="BY97" i="16" s="1"/>
  <c r="BY98" i="16" s="1"/>
  <c r="BY99" i="16" s="1"/>
  <c r="BY100" i="16" s="1"/>
  <c r="BY101" i="16" s="1"/>
  <c r="BY102" i="16" s="1"/>
  <c r="BY103" i="16" s="1"/>
  <c r="BY104" i="16" s="1"/>
  <c r="BY105" i="16" s="1"/>
  <c r="BY106" i="16" s="1"/>
  <c r="BY107" i="16" s="1"/>
  <c r="BY108" i="16" s="1"/>
  <c r="BY109" i="16" s="1"/>
  <c r="BY110" i="16" s="1"/>
  <c r="BY111" i="16" s="1"/>
  <c r="BY112" i="16" s="1"/>
  <c r="BY113" i="16" s="1"/>
  <c r="BY114" i="16" s="1"/>
  <c r="BY115" i="16" s="1"/>
  <c r="BY116" i="16" s="1"/>
  <c r="BY117" i="16" s="1"/>
  <c r="BY118" i="16" s="1"/>
  <c r="BY119" i="16" s="1"/>
  <c r="BY120" i="16" s="1"/>
  <c r="BY121" i="16" s="1"/>
  <c r="BY122" i="16" s="1"/>
  <c r="BY123" i="16" s="1"/>
  <c r="BY124" i="16" s="1"/>
  <c r="BY125" i="16" s="1"/>
  <c r="BY126" i="16" s="1"/>
  <c r="BY127" i="16" s="1"/>
  <c r="BY128" i="16" s="1"/>
  <c r="BY129" i="16" s="1"/>
  <c r="BY130" i="16" s="1"/>
  <c r="BY131" i="16" s="1"/>
  <c r="BY132" i="16" s="1"/>
  <c r="BY133" i="16" s="1"/>
  <c r="BY134" i="16" s="1"/>
  <c r="BY135" i="16" s="1"/>
  <c r="BY136" i="16" s="1"/>
  <c r="BY137" i="16" s="1"/>
  <c r="BY138" i="16" s="1"/>
  <c r="BY139" i="16" s="1"/>
  <c r="BY140" i="16" s="1"/>
  <c r="BY141" i="16" s="1"/>
  <c r="BY142" i="16" s="1"/>
  <c r="BY143" i="16" s="1"/>
  <c r="BY144" i="16" s="1"/>
  <c r="BY145" i="16" s="1"/>
  <c r="BY146" i="16" s="1"/>
  <c r="BY147" i="16" s="1"/>
  <c r="BY148" i="16" s="1"/>
  <c r="BY149" i="16" s="1"/>
  <c r="BY150" i="16" s="1"/>
  <c r="BY151" i="16" s="1"/>
  <c r="BY152" i="16" s="1"/>
  <c r="BY153" i="16" s="1"/>
  <c r="BY154" i="16" s="1"/>
  <c r="BY155" i="16" s="1"/>
  <c r="BY156" i="16" s="1"/>
  <c r="BY157" i="16" s="1"/>
  <c r="BY158" i="16" s="1"/>
  <c r="BY159" i="16" s="1"/>
  <c r="BY160" i="16" s="1"/>
  <c r="BY161" i="16" s="1"/>
  <c r="BY162" i="16" s="1"/>
  <c r="BY163" i="16" s="1"/>
  <c r="BY164" i="16" s="1"/>
  <c r="BY165" i="16" s="1"/>
  <c r="BY166" i="16" s="1"/>
  <c r="BY167" i="16" s="1"/>
  <c r="BY168" i="16" s="1"/>
  <c r="BY169" i="16" s="1"/>
  <c r="BY170" i="16" s="1"/>
  <c r="BY171" i="16" s="1"/>
  <c r="BY172" i="16" s="1"/>
  <c r="BY173" i="16" s="1"/>
  <c r="BY174" i="16" s="1"/>
  <c r="BY175" i="16" s="1"/>
  <c r="BY176" i="16" s="1"/>
  <c r="BY177" i="16" s="1"/>
  <c r="BY178" i="16" s="1"/>
  <c r="BY179" i="16" s="1"/>
  <c r="BY180" i="16" s="1"/>
  <c r="BY181" i="16" s="1"/>
  <c r="BY182" i="16" s="1"/>
  <c r="BY183" i="16" s="1"/>
  <c r="BY184" i="16" s="1"/>
  <c r="BY185" i="16" s="1"/>
  <c r="BY186" i="16" s="1"/>
  <c r="BY187" i="16" s="1"/>
  <c r="BY188" i="16" s="1"/>
  <c r="BY189" i="16" s="1"/>
  <c r="BY190" i="16" s="1"/>
  <c r="BY191" i="16" s="1"/>
  <c r="BY192" i="16" s="1"/>
  <c r="BY193" i="16" s="1"/>
  <c r="BY194" i="16" s="1"/>
  <c r="BY195" i="16" s="1"/>
  <c r="BY196" i="16" s="1"/>
  <c r="BY197" i="16" s="1"/>
  <c r="BY198" i="16" s="1"/>
  <c r="BY199" i="16" s="1"/>
  <c r="BY200" i="16" s="1"/>
  <c r="BY201" i="16" s="1"/>
  <c r="BY202" i="16" s="1"/>
  <c r="BY203" i="16" s="1"/>
  <c r="BY204" i="16" s="1"/>
  <c r="BY205" i="16" s="1"/>
  <c r="BY206" i="16" s="1"/>
  <c r="BY207" i="16" s="1"/>
  <c r="BY208" i="16" s="1"/>
  <c r="BY209" i="16" s="1"/>
  <c r="BY210" i="16" s="1"/>
  <c r="BY211" i="16" s="1"/>
  <c r="BY212" i="16" s="1"/>
  <c r="BY213" i="16" s="1"/>
  <c r="BY214" i="16" s="1"/>
  <c r="BY215" i="16" s="1"/>
  <c r="BY216" i="16" s="1"/>
  <c r="BY217" i="16" s="1"/>
  <c r="BY218" i="16" s="1"/>
  <c r="BY219" i="16" s="1"/>
  <c r="BY220" i="16" s="1"/>
  <c r="BY221" i="16" s="1"/>
  <c r="BY222" i="16" s="1"/>
  <c r="BY223" i="16" s="1"/>
  <c r="BY224" i="16" s="1"/>
  <c r="BY225" i="16" s="1"/>
  <c r="BY226" i="16" s="1"/>
  <c r="BY227" i="16" s="1"/>
  <c r="BY228" i="16" s="1"/>
  <c r="BY229" i="16" s="1"/>
  <c r="BY230" i="16" s="1"/>
  <c r="BS24" i="16"/>
  <c r="BS25" i="16" s="1"/>
  <c r="BS26" i="16" s="1"/>
  <c r="BS27" i="16" s="1"/>
  <c r="BS28" i="16" s="1"/>
  <c r="BS29" i="16" s="1"/>
  <c r="BS30" i="16" s="1"/>
  <c r="BS31" i="16" s="1"/>
  <c r="BS32" i="16" s="1"/>
  <c r="BS33" i="16" s="1"/>
  <c r="BS34" i="16" s="1"/>
  <c r="BS35" i="16" s="1"/>
  <c r="BS36" i="16" s="1"/>
  <c r="BS37" i="16" s="1"/>
  <c r="BS38" i="16" s="1"/>
  <c r="BS39" i="16" s="1"/>
  <c r="BS40" i="16" s="1"/>
  <c r="BS41" i="16" s="1"/>
  <c r="BS42" i="16" s="1"/>
  <c r="BS43" i="16" s="1"/>
  <c r="BS44" i="16" s="1"/>
  <c r="BS45" i="16" s="1"/>
  <c r="BS46" i="16" s="1"/>
  <c r="BS47" i="16" s="1"/>
  <c r="BS48" i="16" s="1"/>
  <c r="BS49" i="16" s="1"/>
  <c r="BS50" i="16" s="1"/>
  <c r="BS51" i="16" s="1"/>
  <c r="BS52" i="16" s="1"/>
  <c r="BS53" i="16" s="1"/>
  <c r="BS54" i="16" s="1"/>
  <c r="BS55" i="16" s="1"/>
  <c r="BS56" i="16" s="1"/>
  <c r="BS57" i="16" s="1"/>
  <c r="BS58" i="16" s="1"/>
  <c r="BS59" i="16" s="1"/>
  <c r="BS60" i="16" s="1"/>
  <c r="BS61" i="16" s="1"/>
  <c r="BS62" i="16" s="1"/>
  <c r="BS63" i="16" s="1"/>
  <c r="BS64" i="16" s="1"/>
  <c r="BS65" i="16" s="1"/>
  <c r="BS66" i="16" s="1"/>
  <c r="BS67" i="16" s="1"/>
  <c r="BS68" i="16" s="1"/>
  <c r="BS69" i="16" s="1"/>
  <c r="BS70" i="16" s="1"/>
  <c r="BS71" i="16" s="1"/>
  <c r="BS72" i="16" s="1"/>
  <c r="BS73" i="16" s="1"/>
  <c r="BS74" i="16" s="1"/>
  <c r="BS75" i="16" s="1"/>
  <c r="BS76" i="16" s="1"/>
  <c r="BS77" i="16" s="1"/>
  <c r="BS78" i="16" s="1"/>
  <c r="BS79" i="16" s="1"/>
  <c r="BS80" i="16" s="1"/>
  <c r="BS81" i="16" s="1"/>
  <c r="BS82" i="16" s="1"/>
  <c r="BS83" i="16" s="1"/>
  <c r="BS84" i="16" s="1"/>
  <c r="BS85" i="16" s="1"/>
  <c r="BS86" i="16" s="1"/>
  <c r="BS87" i="16" s="1"/>
  <c r="BS88" i="16" s="1"/>
  <c r="BS89" i="16" s="1"/>
  <c r="BS90" i="16" s="1"/>
  <c r="BS91" i="16" s="1"/>
  <c r="BS92" i="16" s="1"/>
  <c r="BS93" i="16" s="1"/>
  <c r="BS94" i="16" s="1"/>
  <c r="BS95" i="16" s="1"/>
  <c r="BS96" i="16" s="1"/>
  <c r="BS97" i="16" s="1"/>
  <c r="BS98" i="16" s="1"/>
  <c r="BS99" i="16" s="1"/>
  <c r="BS100" i="16" s="1"/>
  <c r="BS101" i="16" s="1"/>
  <c r="BS102" i="16" s="1"/>
  <c r="BS103" i="16" s="1"/>
  <c r="BS104" i="16" s="1"/>
  <c r="BS105" i="16" s="1"/>
  <c r="BS106" i="16" s="1"/>
  <c r="BS107" i="16" s="1"/>
  <c r="BS108" i="16" s="1"/>
  <c r="BS109" i="16" s="1"/>
  <c r="BS110" i="16" s="1"/>
  <c r="BS111" i="16" s="1"/>
  <c r="BS112" i="16" s="1"/>
  <c r="BS113" i="16" s="1"/>
  <c r="BS114" i="16" s="1"/>
  <c r="BS115" i="16" s="1"/>
  <c r="BS116" i="16" s="1"/>
  <c r="BS117" i="16" s="1"/>
  <c r="BS118" i="16" s="1"/>
  <c r="BS119" i="16" s="1"/>
  <c r="BS120" i="16" s="1"/>
  <c r="BS121" i="16" s="1"/>
  <c r="BS122" i="16" s="1"/>
  <c r="BS123" i="16" s="1"/>
  <c r="BS124" i="16" s="1"/>
  <c r="BS125" i="16" s="1"/>
  <c r="BS126" i="16" s="1"/>
  <c r="BS127" i="16" s="1"/>
  <c r="BS128" i="16" s="1"/>
  <c r="BS129" i="16" s="1"/>
  <c r="BS130" i="16" s="1"/>
  <c r="BS131" i="16" s="1"/>
  <c r="BS132" i="16" s="1"/>
  <c r="BS133" i="16" s="1"/>
  <c r="BS134" i="16" s="1"/>
  <c r="BS135" i="16" s="1"/>
  <c r="BS136" i="16" s="1"/>
  <c r="BS137" i="16" s="1"/>
  <c r="BS138" i="16" s="1"/>
  <c r="BS139" i="16" s="1"/>
  <c r="BS140" i="16" s="1"/>
  <c r="BS141" i="16" s="1"/>
  <c r="BS142" i="16" s="1"/>
  <c r="BS143" i="16" s="1"/>
  <c r="BS144" i="16" s="1"/>
  <c r="BS145" i="16" s="1"/>
  <c r="BS146" i="16" s="1"/>
  <c r="BS147" i="16" s="1"/>
  <c r="BS148" i="16" s="1"/>
  <c r="BS149" i="16" s="1"/>
  <c r="BS150" i="16" s="1"/>
  <c r="BS151" i="16" s="1"/>
  <c r="BS152" i="16" s="1"/>
  <c r="BS153" i="16" s="1"/>
  <c r="BS154" i="16" s="1"/>
  <c r="BS155" i="16" s="1"/>
  <c r="BS156" i="16" s="1"/>
  <c r="BS157" i="16" s="1"/>
  <c r="BS158" i="16" s="1"/>
  <c r="BS159" i="16" s="1"/>
  <c r="BS160" i="16" s="1"/>
  <c r="BS161" i="16" s="1"/>
  <c r="BS162" i="16" s="1"/>
  <c r="BS163" i="16" s="1"/>
  <c r="BS164" i="16" s="1"/>
  <c r="BS165" i="16" s="1"/>
  <c r="BS166" i="16" s="1"/>
  <c r="BS167" i="16" s="1"/>
  <c r="BS168" i="16" s="1"/>
  <c r="BS169" i="16" s="1"/>
  <c r="BS170" i="16" s="1"/>
  <c r="BS171" i="16" s="1"/>
  <c r="BS172" i="16" s="1"/>
  <c r="BS173" i="16" s="1"/>
  <c r="BS174" i="16" s="1"/>
  <c r="BS175" i="16" s="1"/>
  <c r="BS176" i="16" s="1"/>
  <c r="BS177" i="16" s="1"/>
  <c r="BS178" i="16" s="1"/>
  <c r="BS179" i="16" s="1"/>
  <c r="BS180" i="16" s="1"/>
  <c r="BS181" i="16" s="1"/>
  <c r="BS182" i="16" s="1"/>
  <c r="BS183" i="16" s="1"/>
  <c r="BS184" i="16" s="1"/>
  <c r="BS185" i="16" s="1"/>
  <c r="BS186" i="16" s="1"/>
  <c r="BS187" i="16" s="1"/>
  <c r="BS188" i="16" s="1"/>
  <c r="BS189" i="16" s="1"/>
  <c r="BS190" i="16" s="1"/>
  <c r="BS191" i="16" s="1"/>
  <c r="BS192" i="16" s="1"/>
  <c r="BS193" i="16" s="1"/>
  <c r="BS194" i="16" s="1"/>
  <c r="BS195" i="16" s="1"/>
  <c r="BS196" i="16" s="1"/>
  <c r="BS197" i="16" s="1"/>
  <c r="BS198" i="16" s="1"/>
  <c r="BS199" i="16" s="1"/>
  <c r="BS200" i="16" s="1"/>
  <c r="BS201" i="16" s="1"/>
  <c r="BS202" i="16" s="1"/>
  <c r="BS203" i="16" s="1"/>
  <c r="BS204" i="16" s="1"/>
  <c r="BS205" i="16" s="1"/>
  <c r="BS206" i="16" s="1"/>
  <c r="BS207" i="16" s="1"/>
  <c r="BS208" i="16" s="1"/>
  <c r="BS209" i="16" s="1"/>
  <c r="BS210" i="16" s="1"/>
  <c r="BS211" i="16" s="1"/>
  <c r="BS212" i="16" s="1"/>
  <c r="BS213" i="16" s="1"/>
  <c r="BS214" i="16" s="1"/>
  <c r="BS215" i="16" s="1"/>
  <c r="BS216" i="16" s="1"/>
  <c r="BS217" i="16" s="1"/>
  <c r="BS218" i="16" s="1"/>
  <c r="BS219" i="16" s="1"/>
  <c r="BS220" i="16" s="1"/>
  <c r="BS221" i="16" s="1"/>
  <c r="BS222" i="16" s="1"/>
  <c r="BS223" i="16" s="1"/>
  <c r="BS224" i="16" s="1"/>
  <c r="BS225" i="16" s="1"/>
  <c r="BS226" i="16" s="1"/>
  <c r="BS227" i="16" s="1"/>
  <c r="BS228" i="16" s="1"/>
  <c r="BS229" i="16" s="1"/>
  <c r="BS230" i="16" s="1"/>
  <c r="BM25" i="16"/>
  <c r="BM26" i="16" s="1"/>
  <c r="BM27" i="16" s="1"/>
  <c r="BM28" i="16" s="1"/>
  <c r="BM29" i="16" s="1"/>
  <c r="BM30" i="16" s="1"/>
  <c r="BM31" i="16" s="1"/>
  <c r="BM32" i="16" s="1"/>
  <c r="BM33" i="16" s="1"/>
  <c r="BM34" i="16" s="1"/>
  <c r="BM35" i="16" s="1"/>
  <c r="BM36" i="16" s="1"/>
  <c r="BM37" i="16" s="1"/>
  <c r="BM38" i="16" s="1"/>
  <c r="BM39" i="16" s="1"/>
  <c r="BM40" i="16" s="1"/>
  <c r="BM41" i="16" s="1"/>
  <c r="BM42" i="16" s="1"/>
  <c r="BM43" i="16" s="1"/>
  <c r="BM44" i="16" s="1"/>
  <c r="BM45" i="16" s="1"/>
  <c r="BM46" i="16" s="1"/>
  <c r="BM47" i="16" s="1"/>
  <c r="BM48" i="16" s="1"/>
  <c r="BM49" i="16" s="1"/>
  <c r="BM50" i="16" s="1"/>
  <c r="BM51" i="16" s="1"/>
  <c r="BM52" i="16" s="1"/>
  <c r="BM53" i="16" s="1"/>
  <c r="BM54" i="16" s="1"/>
  <c r="BM55" i="16" s="1"/>
  <c r="BM56" i="16" s="1"/>
  <c r="BM57" i="16" s="1"/>
  <c r="BM58" i="16" s="1"/>
  <c r="BM59" i="16" s="1"/>
  <c r="BM60" i="16" s="1"/>
  <c r="BM61" i="16" s="1"/>
  <c r="BM62" i="16" s="1"/>
  <c r="BM63" i="16" s="1"/>
  <c r="BM64" i="16" s="1"/>
  <c r="BM65" i="16" s="1"/>
  <c r="BM66" i="16" s="1"/>
  <c r="BM67" i="16" s="1"/>
  <c r="BM68" i="16" s="1"/>
  <c r="BM69" i="16" s="1"/>
  <c r="BM70" i="16" s="1"/>
  <c r="BM71" i="16" s="1"/>
  <c r="BM72" i="16" s="1"/>
  <c r="BM73" i="16" s="1"/>
  <c r="BM74" i="16" s="1"/>
  <c r="BM75" i="16" s="1"/>
  <c r="BM76" i="16" s="1"/>
  <c r="BM77" i="16" s="1"/>
  <c r="BM78" i="16" s="1"/>
  <c r="BM79" i="16" s="1"/>
  <c r="BM80" i="16" s="1"/>
  <c r="BM81" i="16" s="1"/>
  <c r="BM82" i="16" s="1"/>
  <c r="BM83" i="16" s="1"/>
  <c r="BM84" i="16" s="1"/>
  <c r="BM85" i="16" s="1"/>
  <c r="BM86" i="16" s="1"/>
  <c r="BM87" i="16" s="1"/>
  <c r="BM88" i="16" s="1"/>
  <c r="BM89" i="16" s="1"/>
  <c r="BM90" i="16" s="1"/>
  <c r="BM91" i="16" s="1"/>
  <c r="BM92" i="16" s="1"/>
  <c r="BM93" i="16" s="1"/>
  <c r="BM94" i="16" s="1"/>
  <c r="BM95" i="16" s="1"/>
  <c r="BM96" i="16" s="1"/>
  <c r="BM97" i="16" s="1"/>
  <c r="BM98" i="16" s="1"/>
  <c r="BM99" i="16" s="1"/>
  <c r="BM100" i="16" s="1"/>
  <c r="BM101" i="16" s="1"/>
  <c r="BM102" i="16" s="1"/>
  <c r="BM103" i="16" s="1"/>
  <c r="BM104" i="16" s="1"/>
  <c r="BM105" i="16" s="1"/>
  <c r="BM106" i="16" s="1"/>
  <c r="BM107" i="16" s="1"/>
  <c r="BM108" i="16" s="1"/>
  <c r="BM109" i="16" s="1"/>
  <c r="BM110" i="16" s="1"/>
  <c r="BM111" i="16" s="1"/>
  <c r="BM112" i="16" s="1"/>
  <c r="BM113" i="16" s="1"/>
  <c r="BM114" i="16" s="1"/>
  <c r="BM115" i="16" s="1"/>
  <c r="BM116" i="16" s="1"/>
  <c r="BM117" i="16" s="1"/>
  <c r="BM118" i="16" s="1"/>
  <c r="BM119" i="16" s="1"/>
  <c r="BM120" i="16" s="1"/>
  <c r="BM121" i="16" s="1"/>
  <c r="BM122" i="16" s="1"/>
  <c r="BM123" i="16" s="1"/>
  <c r="BM124" i="16" s="1"/>
  <c r="BM125" i="16" s="1"/>
  <c r="BM126" i="16" s="1"/>
  <c r="BM127" i="16" s="1"/>
  <c r="BM128" i="16" s="1"/>
  <c r="BM129" i="16" s="1"/>
  <c r="BM130" i="16" s="1"/>
  <c r="BM131" i="16" s="1"/>
  <c r="BM132" i="16" s="1"/>
  <c r="BM133" i="16" s="1"/>
  <c r="BM134" i="16" s="1"/>
  <c r="BM135" i="16" s="1"/>
  <c r="BM136" i="16" s="1"/>
  <c r="BM137" i="16" s="1"/>
  <c r="BM138" i="16" s="1"/>
  <c r="BM139" i="16" s="1"/>
  <c r="BM140" i="16" s="1"/>
  <c r="BM141" i="16" s="1"/>
  <c r="BM142" i="16" s="1"/>
  <c r="BM143" i="16" s="1"/>
  <c r="BM144" i="16" s="1"/>
  <c r="BM145" i="16" s="1"/>
  <c r="BM146" i="16" s="1"/>
  <c r="BM147" i="16" s="1"/>
  <c r="BM148" i="16" s="1"/>
  <c r="BM149" i="16" s="1"/>
  <c r="BM150" i="16" s="1"/>
  <c r="BM151" i="16" s="1"/>
  <c r="BM152" i="16" s="1"/>
  <c r="BM153" i="16" s="1"/>
  <c r="BM154" i="16" s="1"/>
  <c r="BM155" i="16" s="1"/>
  <c r="BM156" i="16" s="1"/>
  <c r="BM157" i="16" s="1"/>
  <c r="BM158" i="16" s="1"/>
  <c r="BM159" i="16" s="1"/>
  <c r="BM160" i="16" s="1"/>
  <c r="BM161" i="16" s="1"/>
  <c r="BM162" i="16" s="1"/>
  <c r="BM163" i="16" s="1"/>
  <c r="BM164" i="16" s="1"/>
  <c r="BM165" i="16" s="1"/>
  <c r="BM166" i="16" s="1"/>
  <c r="BM167" i="16" s="1"/>
  <c r="BM168" i="16" s="1"/>
  <c r="BM169" i="16" s="1"/>
  <c r="BM170" i="16" s="1"/>
  <c r="BM171" i="16" s="1"/>
  <c r="BM172" i="16" s="1"/>
  <c r="BM173" i="16" s="1"/>
  <c r="BM174" i="16" s="1"/>
  <c r="BM175" i="16" s="1"/>
  <c r="BM176" i="16" s="1"/>
  <c r="BM177" i="16" s="1"/>
  <c r="BM178" i="16" s="1"/>
  <c r="BM179" i="16" s="1"/>
  <c r="BM180" i="16" s="1"/>
  <c r="BM181" i="16" s="1"/>
  <c r="BM182" i="16" s="1"/>
  <c r="BM183" i="16" s="1"/>
  <c r="BM184" i="16" s="1"/>
  <c r="BM185" i="16" s="1"/>
  <c r="BM186" i="16" s="1"/>
  <c r="BM187" i="16" s="1"/>
  <c r="BM188" i="16" s="1"/>
  <c r="BM189" i="16" s="1"/>
  <c r="BM190" i="16" s="1"/>
  <c r="BM191" i="16" s="1"/>
  <c r="BM192" i="16" s="1"/>
  <c r="BM193" i="16" s="1"/>
  <c r="BM194" i="16" s="1"/>
  <c r="BM195" i="16" s="1"/>
  <c r="BM196" i="16" s="1"/>
  <c r="BM197" i="16" s="1"/>
  <c r="BM198" i="16" s="1"/>
  <c r="BM199" i="16" s="1"/>
  <c r="BM200" i="16" s="1"/>
  <c r="BM201" i="16" s="1"/>
  <c r="BM202" i="16" s="1"/>
  <c r="BM203" i="16" s="1"/>
  <c r="BM204" i="16" s="1"/>
  <c r="BM205" i="16" s="1"/>
  <c r="BM206" i="16" s="1"/>
  <c r="BM207" i="16" s="1"/>
  <c r="BM208" i="16" s="1"/>
  <c r="BM209" i="16" s="1"/>
  <c r="BM210" i="16" s="1"/>
  <c r="BM211" i="16" s="1"/>
  <c r="BM212" i="16" s="1"/>
  <c r="BM213" i="16" s="1"/>
  <c r="BM214" i="16" s="1"/>
  <c r="BM215" i="16" s="1"/>
  <c r="BM216" i="16" s="1"/>
  <c r="BM217" i="16" s="1"/>
  <c r="BM218" i="16" s="1"/>
  <c r="BM219" i="16" s="1"/>
  <c r="BM220" i="16" s="1"/>
  <c r="BM221" i="16" s="1"/>
  <c r="BM222" i="16" s="1"/>
  <c r="BM223" i="16" s="1"/>
  <c r="BM224" i="16" s="1"/>
  <c r="BM225" i="16" s="1"/>
  <c r="BM226" i="16" s="1"/>
  <c r="BM227" i="16" s="1"/>
  <c r="BM228" i="16" s="1"/>
  <c r="BM229" i="16" s="1"/>
  <c r="BM230" i="16" s="1"/>
  <c r="BG30" i="16"/>
  <c r="BG31" i="16" s="1"/>
  <c r="BG32" i="16" s="1"/>
  <c r="BG33" i="16" s="1"/>
  <c r="BG34" i="16" s="1"/>
  <c r="BG35" i="16" s="1"/>
  <c r="BG36" i="16" s="1"/>
  <c r="BG37" i="16" s="1"/>
  <c r="BG38" i="16" s="1"/>
  <c r="BG39" i="16" s="1"/>
  <c r="BG40" i="16" s="1"/>
  <c r="BG41" i="16" s="1"/>
  <c r="BG42" i="16" s="1"/>
  <c r="BG43" i="16" s="1"/>
  <c r="BG44" i="16" s="1"/>
  <c r="BG45" i="16" s="1"/>
  <c r="BG46" i="16" s="1"/>
  <c r="BG47" i="16" s="1"/>
  <c r="BG48" i="16" s="1"/>
  <c r="BG49" i="16" s="1"/>
  <c r="BG50" i="16" s="1"/>
  <c r="BG51" i="16" s="1"/>
  <c r="BG52" i="16" s="1"/>
  <c r="BG53" i="16" s="1"/>
  <c r="BG54" i="16" s="1"/>
  <c r="BG55" i="16" s="1"/>
  <c r="BG56" i="16" s="1"/>
  <c r="BG57" i="16" s="1"/>
  <c r="BG58" i="16" s="1"/>
  <c r="BG59" i="16" s="1"/>
  <c r="BG60" i="16" s="1"/>
  <c r="BG61" i="16" s="1"/>
  <c r="BG62" i="16" s="1"/>
  <c r="BG63" i="16" s="1"/>
  <c r="BG64" i="16" s="1"/>
  <c r="BG65" i="16" s="1"/>
  <c r="BG66" i="16" s="1"/>
  <c r="BG67" i="16" s="1"/>
  <c r="BG68" i="16" s="1"/>
  <c r="BG69" i="16" s="1"/>
  <c r="BG70" i="16" s="1"/>
  <c r="BG71" i="16" s="1"/>
  <c r="BG72" i="16" s="1"/>
  <c r="BG73" i="16" s="1"/>
  <c r="BG74" i="16" s="1"/>
  <c r="BG75" i="16" s="1"/>
  <c r="BG76" i="16" s="1"/>
  <c r="BG77" i="16" s="1"/>
  <c r="BG78" i="16" s="1"/>
  <c r="BG79" i="16" s="1"/>
  <c r="BG80" i="16" s="1"/>
  <c r="BG81" i="16" s="1"/>
  <c r="BG82" i="16" s="1"/>
  <c r="BG83" i="16" s="1"/>
  <c r="BG84" i="16" s="1"/>
  <c r="BG85" i="16" s="1"/>
  <c r="BG86" i="16" s="1"/>
  <c r="BG87" i="16" s="1"/>
  <c r="BG88" i="16" s="1"/>
  <c r="BG89" i="16" s="1"/>
  <c r="BG90" i="16" s="1"/>
  <c r="BG91" i="16" s="1"/>
  <c r="BG92" i="16" s="1"/>
  <c r="BG93" i="16" s="1"/>
  <c r="BG94" i="16" s="1"/>
  <c r="BG95" i="16" s="1"/>
  <c r="BG96" i="16" s="1"/>
  <c r="BG97" i="16" s="1"/>
  <c r="BG98" i="16" s="1"/>
  <c r="BG99" i="16" s="1"/>
  <c r="BG100" i="16" s="1"/>
  <c r="BG101" i="16" s="1"/>
  <c r="BG102" i="16" s="1"/>
  <c r="BG103" i="16" s="1"/>
  <c r="BG104" i="16" s="1"/>
  <c r="BG105" i="16" s="1"/>
  <c r="BG106" i="16" s="1"/>
  <c r="BG107" i="16" s="1"/>
  <c r="BG108" i="16" s="1"/>
  <c r="BG109" i="16" s="1"/>
  <c r="BG110" i="16" s="1"/>
  <c r="BG111" i="16" s="1"/>
  <c r="BG112" i="16" s="1"/>
  <c r="BG113" i="16" s="1"/>
  <c r="BG114" i="16" s="1"/>
  <c r="BG115" i="16" s="1"/>
  <c r="BG116" i="16" s="1"/>
  <c r="BG117" i="16" s="1"/>
  <c r="BG118" i="16" s="1"/>
  <c r="BG119" i="16" s="1"/>
  <c r="BG120" i="16" s="1"/>
  <c r="BG121" i="16" s="1"/>
  <c r="BG122" i="16" s="1"/>
  <c r="BG123" i="16" s="1"/>
  <c r="BG124" i="16" s="1"/>
  <c r="BG125" i="16" s="1"/>
  <c r="BG126" i="16" s="1"/>
  <c r="BG127" i="16" s="1"/>
  <c r="BG128" i="16" s="1"/>
  <c r="BG129" i="16" s="1"/>
  <c r="BG130" i="16" s="1"/>
  <c r="BG131" i="16" s="1"/>
  <c r="BG132" i="16" s="1"/>
  <c r="BG133" i="16" s="1"/>
  <c r="BG134" i="16" s="1"/>
  <c r="BG135" i="16" s="1"/>
  <c r="BG136" i="16" s="1"/>
  <c r="BG137" i="16" s="1"/>
  <c r="BG138" i="16" s="1"/>
  <c r="BG139" i="16" s="1"/>
  <c r="BG140" i="16" s="1"/>
  <c r="BG141" i="16" s="1"/>
  <c r="BG142" i="16" s="1"/>
  <c r="BG143" i="16" s="1"/>
  <c r="BG144" i="16" s="1"/>
  <c r="BG145" i="16" s="1"/>
  <c r="BG146" i="16" s="1"/>
  <c r="BG147" i="16" s="1"/>
  <c r="BG148" i="16" s="1"/>
  <c r="BG149" i="16" s="1"/>
  <c r="BG150" i="16" s="1"/>
  <c r="BG151" i="16" s="1"/>
  <c r="BG152" i="16" s="1"/>
  <c r="BG153" i="16" s="1"/>
  <c r="BG154" i="16" s="1"/>
  <c r="BG155" i="16" s="1"/>
  <c r="BG156" i="16" s="1"/>
  <c r="BG157" i="16" s="1"/>
  <c r="BG158" i="16" s="1"/>
  <c r="BG159" i="16" s="1"/>
  <c r="BG160" i="16" s="1"/>
  <c r="BG161" i="16" s="1"/>
  <c r="BG162" i="16" s="1"/>
  <c r="BG163" i="16" s="1"/>
  <c r="BG164" i="16" s="1"/>
  <c r="BG165" i="16" s="1"/>
  <c r="BG166" i="16" s="1"/>
  <c r="BG167" i="16" s="1"/>
  <c r="BG168" i="16" s="1"/>
  <c r="BG169" i="16" s="1"/>
  <c r="BG170" i="16" s="1"/>
  <c r="BG171" i="16" s="1"/>
  <c r="BG172" i="16" s="1"/>
  <c r="BG173" i="16" s="1"/>
  <c r="BG174" i="16" s="1"/>
  <c r="BG175" i="16" s="1"/>
  <c r="BG176" i="16" s="1"/>
  <c r="BG177" i="16" s="1"/>
  <c r="BG178" i="16" s="1"/>
  <c r="BG179" i="16" s="1"/>
  <c r="BG180" i="16" s="1"/>
  <c r="BG181" i="16" s="1"/>
  <c r="BG182" i="16" s="1"/>
  <c r="BG183" i="16" s="1"/>
  <c r="BG184" i="16" s="1"/>
  <c r="BG185" i="16" s="1"/>
  <c r="BG186" i="16" s="1"/>
  <c r="BG187" i="16" s="1"/>
  <c r="BG188" i="16" s="1"/>
  <c r="BG189" i="16" s="1"/>
  <c r="BG190" i="16" s="1"/>
  <c r="BG191" i="16" s="1"/>
  <c r="BG192" i="16" s="1"/>
  <c r="BG193" i="16" s="1"/>
  <c r="BG194" i="16" s="1"/>
  <c r="BG195" i="16" s="1"/>
  <c r="BG196" i="16" s="1"/>
  <c r="BG197" i="16" s="1"/>
  <c r="BG198" i="16" s="1"/>
  <c r="BG199" i="16" s="1"/>
  <c r="BG200" i="16" s="1"/>
  <c r="BG201" i="16" s="1"/>
  <c r="BG202" i="16" s="1"/>
  <c r="BG203" i="16" s="1"/>
  <c r="BG204" i="16" s="1"/>
  <c r="BG205" i="16" s="1"/>
  <c r="BG206" i="16" s="1"/>
  <c r="BG207" i="16" s="1"/>
  <c r="BG208" i="16" s="1"/>
  <c r="BG209" i="16" s="1"/>
  <c r="BG210" i="16" s="1"/>
  <c r="BG211" i="16" s="1"/>
  <c r="BG212" i="16" s="1"/>
  <c r="BG213" i="16" s="1"/>
  <c r="BG214" i="16" s="1"/>
  <c r="BG215" i="16" s="1"/>
  <c r="BG216" i="16" s="1"/>
  <c r="BG217" i="16" s="1"/>
  <c r="BG218" i="16" s="1"/>
  <c r="BG219" i="16" s="1"/>
  <c r="BG220" i="16" s="1"/>
  <c r="BG221" i="16" s="1"/>
  <c r="BG222" i="16" s="1"/>
  <c r="BG223" i="16" s="1"/>
  <c r="BG224" i="16" s="1"/>
  <c r="BG225" i="16" s="1"/>
  <c r="BG226" i="16" s="1"/>
  <c r="BG227" i="16" s="1"/>
  <c r="BG228" i="16" s="1"/>
  <c r="BG229" i="16" s="1"/>
  <c r="BG230" i="16" s="1"/>
  <c r="BH16" i="16"/>
  <c r="BA26" i="16"/>
  <c r="BA27" i="16" s="1"/>
  <c r="BA28" i="16" s="1"/>
  <c r="BA29" i="16" s="1"/>
  <c r="BA30" i="16" s="1"/>
  <c r="BA31" i="16" s="1"/>
  <c r="BA32" i="16" s="1"/>
  <c r="BA33" i="16" s="1"/>
  <c r="BA34" i="16" s="1"/>
  <c r="BA35" i="16" s="1"/>
  <c r="BA36" i="16" s="1"/>
  <c r="BA37" i="16" s="1"/>
  <c r="BA38" i="16" s="1"/>
  <c r="BA39" i="16" s="1"/>
  <c r="BA40" i="16" s="1"/>
  <c r="BA41" i="16" s="1"/>
  <c r="BA42" i="16" s="1"/>
  <c r="BA43" i="16" s="1"/>
  <c r="BA44" i="16" s="1"/>
  <c r="BA45" i="16" s="1"/>
  <c r="BA46" i="16" s="1"/>
  <c r="BA47" i="16" s="1"/>
  <c r="BA48" i="16" s="1"/>
  <c r="BA49" i="16" s="1"/>
  <c r="BA50" i="16" s="1"/>
  <c r="BA51" i="16" s="1"/>
  <c r="BA52" i="16" s="1"/>
  <c r="BA53" i="16" s="1"/>
  <c r="BA54" i="16" s="1"/>
  <c r="BA55" i="16" s="1"/>
  <c r="BA56" i="16" s="1"/>
  <c r="BA57" i="16" s="1"/>
  <c r="BA58" i="16" s="1"/>
  <c r="BA59" i="16" s="1"/>
  <c r="BA60" i="16" s="1"/>
  <c r="BA61" i="16" s="1"/>
  <c r="BA62" i="16" s="1"/>
  <c r="BA63" i="16" s="1"/>
  <c r="BA64" i="16" s="1"/>
  <c r="BA65" i="16" s="1"/>
  <c r="BA66" i="16" s="1"/>
  <c r="BA67" i="16" s="1"/>
  <c r="BA68" i="16" s="1"/>
  <c r="BA69" i="16" s="1"/>
  <c r="BA70" i="16" s="1"/>
  <c r="BA71" i="16" s="1"/>
  <c r="BA72" i="16" s="1"/>
  <c r="BA73" i="16" s="1"/>
  <c r="BA74" i="16" s="1"/>
  <c r="BA75" i="16" s="1"/>
  <c r="BA76" i="16" s="1"/>
  <c r="BA77" i="16" s="1"/>
  <c r="BA78" i="16" s="1"/>
  <c r="BA79" i="16" s="1"/>
  <c r="BA80" i="16" s="1"/>
  <c r="BA81" i="16" s="1"/>
  <c r="BA82" i="16" s="1"/>
  <c r="BA83" i="16" s="1"/>
  <c r="BA84" i="16" s="1"/>
  <c r="BA85" i="16" s="1"/>
  <c r="BA86" i="16" s="1"/>
  <c r="BA87" i="16" s="1"/>
  <c r="BA88" i="16" s="1"/>
  <c r="BA89" i="16" s="1"/>
  <c r="BA90" i="16" s="1"/>
  <c r="BA91" i="16" s="1"/>
  <c r="BA92" i="16" s="1"/>
  <c r="BA93" i="16" s="1"/>
  <c r="BA94" i="16" s="1"/>
  <c r="BA95" i="16" s="1"/>
  <c r="BA96" i="16" s="1"/>
  <c r="BA97" i="16" s="1"/>
  <c r="BA98" i="16" s="1"/>
  <c r="BA99" i="16" s="1"/>
  <c r="BA100" i="16" s="1"/>
  <c r="BA101" i="16" s="1"/>
  <c r="BA102" i="16" s="1"/>
  <c r="BA103" i="16" s="1"/>
  <c r="BA104" i="16" s="1"/>
  <c r="BA105" i="16" s="1"/>
  <c r="BA106" i="16" s="1"/>
  <c r="BA107" i="16" s="1"/>
  <c r="BA108" i="16" s="1"/>
  <c r="BA109" i="16" s="1"/>
  <c r="BA110" i="16" s="1"/>
  <c r="BA111" i="16" s="1"/>
  <c r="BA112" i="16" s="1"/>
  <c r="BA113" i="16" s="1"/>
  <c r="BA114" i="16" s="1"/>
  <c r="BA115" i="16" s="1"/>
  <c r="BA116" i="16" s="1"/>
  <c r="BA117" i="16" s="1"/>
  <c r="BA118" i="16" s="1"/>
  <c r="BA119" i="16" s="1"/>
  <c r="BA120" i="16" s="1"/>
  <c r="BA121" i="16" s="1"/>
  <c r="BA122" i="16" s="1"/>
  <c r="BA123" i="16" s="1"/>
  <c r="BA124" i="16" s="1"/>
  <c r="BA125" i="16" s="1"/>
  <c r="BA126" i="16" s="1"/>
  <c r="BA127" i="16" s="1"/>
  <c r="BA128" i="16" s="1"/>
  <c r="BA129" i="16" s="1"/>
  <c r="BA130" i="16" s="1"/>
  <c r="BA131" i="16" s="1"/>
  <c r="BA132" i="16" s="1"/>
  <c r="BA133" i="16" s="1"/>
  <c r="BA134" i="16" s="1"/>
  <c r="BA135" i="16" s="1"/>
  <c r="BA136" i="16" s="1"/>
  <c r="BA137" i="16" s="1"/>
  <c r="BA138" i="16" s="1"/>
  <c r="BA139" i="16" s="1"/>
  <c r="BA140" i="16" s="1"/>
  <c r="BA141" i="16" s="1"/>
  <c r="BA142" i="16" s="1"/>
  <c r="BA143" i="16" s="1"/>
  <c r="BA144" i="16" s="1"/>
  <c r="BA145" i="16" s="1"/>
  <c r="BA146" i="16" s="1"/>
  <c r="BA147" i="16" s="1"/>
  <c r="BA148" i="16" s="1"/>
  <c r="BA149" i="16" s="1"/>
  <c r="BA150" i="16" s="1"/>
  <c r="BA151" i="16" s="1"/>
  <c r="BA152" i="16" s="1"/>
  <c r="BA153" i="16" s="1"/>
  <c r="BA154" i="16" s="1"/>
  <c r="BA155" i="16" s="1"/>
  <c r="BA156" i="16" s="1"/>
  <c r="BA157" i="16" s="1"/>
  <c r="BA158" i="16" s="1"/>
  <c r="BA159" i="16" s="1"/>
  <c r="BA160" i="16" s="1"/>
  <c r="BA161" i="16" s="1"/>
  <c r="BA162" i="16" s="1"/>
  <c r="BA163" i="16" s="1"/>
  <c r="BA164" i="16" s="1"/>
  <c r="BA165" i="16" s="1"/>
  <c r="BA166" i="16" s="1"/>
  <c r="BA167" i="16" s="1"/>
  <c r="BA168" i="16" s="1"/>
  <c r="BA169" i="16" s="1"/>
  <c r="BA170" i="16" s="1"/>
  <c r="BA171" i="16" s="1"/>
  <c r="BA172" i="16" s="1"/>
  <c r="BA173" i="16" s="1"/>
  <c r="BA174" i="16" s="1"/>
  <c r="BA175" i="16" s="1"/>
  <c r="BA176" i="16" s="1"/>
  <c r="BA177" i="16" s="1"/>
  <c r="BA178" i="16" s="1"/>
  <c r="BA179" i="16" s="1"/>
  <c r="BA180" i="16" s="1"/>
  <c r="BA181" i="16" s="1"/>
  <c r="BA182" i="16" s="1"/>
  <c r="BA183" i="16" s="1"/>
  <c r="BA184" i="16" s="1"/>
  <c r="BA185" i="16" s="1"/>
  <c r="BA186" i="16" s="1"/>
  <c r="BA187" i="16" s="1"/>
  <c r="BA188" i="16" s="1"/>
  <c r="BA189" i="16" s="1"/>
  <c r="BA190" i="16" s="1"/>
  <c r="BA191" i="16" s="1"/>
  <c r="BA192" i="16" s="1"/>
  <c r="BA193" i="16" s="1"/>
  <c r="BA194" i="16" s="1"/>
  <c r="BA195" i="16" s="1"/>
  <c r="BA196" i="16" s="1"/>
  <c r="BA197" i="16" s="1"/>
  <c r="BA198" i="16" s="1"/>
  <c r="BA199" i="16" s="1"/>
  <c r="BA200" i="16" s="1"/>
  <c r="BA201" i="16" s="1"/>
  <c r="BA202" i="16" s="1"/>
  <c r="BA203" i="16" s="1"/>
  <c r="BA204" i="16" s="1"/>
  <c r="BA205" i="16" s="1"/>
  <c r="BA206" i="16" s="1"/>
  <c r="BA207" i="16" s="1"/>
  <c r="BA208" i="16" s="1"/>
  <c r="BA209" i="16" s="1"/>
  <c r="BA210" i="16" s="1"/>
  <c r="BA211" i="16" s="1"/>
  <c r="BA212" i="16" s="1"/>
  <c r="BA213" i="16" s="1"/>
  <c r="BA214" i="16" s="1"/>
  <c r="BA215" i="16" s="1"/>
  <c r="BA216" i="16" s="1"/>
  <c r="BA217" i="16" s="1"/>
  <c r="BA218" i="16" s="1"/>
  <c r="BA219" i="16" s="1"/>
  <c r="BA220" i="16" s="1"/>
  <c r="BA221" i="16" s="1"/>
  <c r="BA222" i="16" s="1"/>
  <c r="BA223" i="16" s="1"/>
  <c r="BA224" i="16" s="1"/>
  <c r="BA225" i="16" s="1"/>
  <c r="BA226" i="16" s="1"/>
  <c r="BA227" i="16" s="1"/>
  <c r="BA228" i="16" s="1"/>
  <c r="BA229" i="16" s="1"/>
  <c r="BA230" i="16" s="1"/>
  <c r="CP18" i="16"/>
  <c r="CR15" i="16"/>
  <c r="CR16" i="16"/>
  <c r="CL15" i="16"/>
  <c r="CJ18" i="16"/>
  <c r="CL16" i="16"/>
  <c r="CD17" i="16"/>
  <c r="CF16" i="16"/>
  <c r="CF15" i="16"/>
  <c r="BX17" i="16"/>
  <c r="BZ16" i="16"/>
  <c r="BZ15" i="16"/>
  <c r="BR17" i="16"/>
  <c r="BT16" i="16"/>
  <c r="BT15" i="16"/>
  <c r="BL16" i="16"/>
  <c r="BN15" i="16"/>
  <c r="BF18" i="16"/>
  <c r="BH15" i="16"/>
  <c r="BB15" i="16"/>
  <c r="AZ17" i="16"/>
  <c r="BB16" i="16"/>
  <c r="AT16" i="16"/>
  <c r="AV16" i="16" s="1"/>
  <c r="AU24" i="16"/>
  <c r="AU25" i="16" s="1"/>
  <c r="AU26" i="16" s="1"/>
  <c r="AU27" i="16" s="1"/>
  <c r="AU28" i="16" s="1"/>
  <c r="AU29" i="16" s="1"/>
  <c r="AU30" i="16" s="1"/>
  <c r="AU31" i="16" s="1"/>
  <c r="AU32" i="16" s="1"/>
  <c r="AU33" i="16" s="1"/>
  <c r="AU34" i="16" s="1"/>
  <c r="AU35" i="16" s="1"/>
  <c r="AU36" i="16" s="1"/>
  <c r="AU37" i="16" s="1"/>
  <c r="AU38" i="16" s="1"/>
  <c r="AU39" i="16" s="1"/>
  <c r="AU40" i="16" s="1"/>
  <c r="AU41" i="16" s="1"/>
  <c r="AU42" i="16" s="1"/>
  <c r="AU43" i="16" s="1"/>
  <c r="AU44" i="16" s="1"/>
  <c r="AU45" i="16" s="1"/>
  <c r="AU46" i="16" s="1"/>
  <c r="AU47" i="16" s="1"/>
  <c r="AU48" i="16" s="1"/>
  <c r="AU49" i="16" s="1"/>
  <c r="AU50" i="16" s="1"/>
  <c r="AU51" i="16" s="1"/>
  <c r="AU52" i="16" s="1"/>
  <c r="AU53" i="16" s="1"/>
  <c r="AU54" i="16" s="1"/>
  <c r="AU55" i="16" s="1"/>
  <c r="AU56" i="16" s="1"/>
  <c r="AU57" i="16" s="1"/>
  <c r="AU58" i="16" s="1"/>
  <c r="AU59" i="16" s="1"/>
  <c r="AU60" i="16" s="1"/>
  <c r="AU61" i="16" s="1"/>
  <c r="AU62" i="16" s="1"/>
  <c r="AU63" i="16" s="1"/>
  <c r="AU64" i="16" s="1"/>
  <c r="AU65" i="16" s="1"/>
  <c r="AU66" i="16" s="1"/>
  <c r="AU67" i="16" s="1"/>
  <c r="AU68" i="16" s="1"/>
  <c r="AU69" i="16" s="1"/>
  <c r="AU70" i="16" s="1"/>
  <c r="AU71" i="16" s="1"/>
  <c r="AU72" i="16" s="1"/>
  <c r="AU73" i="16" s="1"/>
  <c r="AU74" i="16" s="1"/>
  <c r="AU75" i="16" s="1"/>
  <c r="AU76" i="16" s="1"/>
  <c r="AU77" i="16" s="1"/>
  <c r="AU78" i="16" s="1"/>
  <c r="AU79" i="16" s="1"/>
  <c r="AU80" i="16" s="1"/>
  <c r="AU81" i="16" s="1"/>
  <c r="AU82" i="16" s="1"/>
  <c r="AU83" i="16" s="1"/>
  <c r="AU84" i="16" s="1"/>
  <c r="AU85" i="16" s="1"/>
  <c r="AU86" i="16" s="1"/>
  <c r="AU87" i="16" s="1"/>
  <c r="AU88" i="16" s="1"/>
  <c r="AU89" i="16" s="1"/>
  <c r="AU90" i="16" s="1"/>
  <c r="AU91" i="16" s="1"/>
  <c r="AU92" i="16" s="1"/>
  <c r="AU93" i="16" s="1"/>
  <c r="AU94" i="16" s="1"/>
  <c r="AU95" i="16" s="1"/>
  <c r="AU96" i="16" s="1"/>
  <c r="AU97" i="16" s="1"/>
  <c r="AU98" i="16" s="1"/>
  <c r="AU99" i="16" s="1"/>
  <c r="AU100" i="16" s="1"/>
  <c r="AU101" i="16" s="1"/>
  <c r="AU102" i="16" s="1"/>
  <c r="AU103" i="16" s="1"/>
  <c r="AU104" i="16" s="1"/>
  <c r="AU105" i="16" s="1"/>
  <c r="AU106" i="16" s="1"/>
  <c r="AU107" i="16" s="1"/>
  <c r="AU108" i="16" s="1"/>
  <c r="AU109" i="16" s="1"/>
  <c r="AU110" i="16" s="1"/>
  <c r="AU111" i="16" s="1"/>
  <c r="AU112" i="16" s="1"/>
  <c r="AU113" i="16" s="1"/>
  <c r="AU114" i="16" s="1"/>
  <c r="AU115" i="16" s="1"/>
  <c r="AU116" i="16" s="1"/>
  <c r="AU117" i="16" s="1"/>
  <c r="AU118" i="16" s="1"/>
  <c r="AU119" i="16" s="1"/>
  <c r="AU120" i="16" s="1"/>
  <c r="AU121" i="16" s="1"/>
  <c r="AU122" i="16" s="1"/>
  <c r="AU123" i="16" s="1"/>
  <c r="AU124" i="16" s="1"/>
  <c r="AU125" i="16" s="1"/>
  <c r="AU126" i="16" s="1"/>
  <c r="AU127" i="16" s="1"/>
  <c r="AU128" i="16" s="1"/>
  <c r="AU129" i="16" s="1"/>
  <c r="AU130" i="16" s="1"/>
  <c r="AU131" i="16" s="1"/>
  <c r="AU132" i="16" s="1"/>
  <c r="AU133" i="16" s="1"/>
  <c r="AU134" i="16" s="1"/>
  <c r="AU135" i="16" s="1"/>
  <c r="AU136" i="16" s="1"/>
  <c r="AU137" i="16" s="1"/>
  <c r="AU138" i="16" s="1"/>
  <c r="AU139" i="16" s="1"/>
  <c r="AU140" i="16" s="1"/>
  <c r="AU141" i="16" s="1"/>
  <c r="AU142" i="16" s="1"/>
  <c r="AU143" i="16" s="1"/>
  <c r="AU144" i="16" s="1"/>
  <c r="AU145" i="16" s="1"/>
  <c r="AU146" i="16" s="1"/>
  <c r="AU147" i="16" s="1"/>
  <c r="AU148" i="16" s="1"/>
  <c r="AU149" i="16" s="1"/>
  <c r="AU150" i="16" s="1"/>
  <c r="AU151" i="16" s="1"/>
  <c r="AU152" i="16" s="1"/>
  <c r="AU153" i="16" s="1"/>
  <c r="AU154" i="16" s="1"/>
  <c r="AU155" i="16" s="1"/>
  <c r="AU156" i="16" s="1"/>
  <c r="AU157" i="16" s="1"/>
  <c r="AU158" i="16" s="1"/>
  <c r="AU159" i="16" s="1"/>
  <c r="AU160" i="16" s="1"/>
  <c r="AU161" i="16" s="1"/>
  <c r="AU162" i="16" s="1"/>
  <c r="AU163" i="16" s="1"/>
  <c r="AU164" i="16" s="1"/>
  <c r="AU165" i="16" s="1"/>
  <c r="AU166" i="16" s="1"/>
  <c r="AU167" i="16" s="1"/>
  <c r="AU168" i="16" s="1"/>
  <c r="AU169" i="16" s="1"/>
  <c r="AU170" i="16" s="1"/>
  <c r="AU171" i="16" s="1"/>
  <c r="AU172" i="16" s="1"/>
  <c r="AU173" i="16" s="1"/>
  <c r="AU174" i="16" s="1"/>
  <c r="AU175" i="16" s="1"/>
  <c r="AU176" i="16" s="1"/>
  <c r="AU177" i="16" s="1"/>
  <c r="AU178" i="16" s="1"/>
  <c r="AU179" i="16" s="1"/>
  <c r="AU180" i="16" s="1"/>
  <c r="AU181" i="16" s="1"/>
  <c r="AU182" i="16" s="1"/>
  <c r="AU183" i="16" s="1"/>
  <c r="AU184" i="16" s="1"/>
  <c r="AU185" i="16" s="1"/>
  <c r="AU186" i="16" s="1"/>
  <c r="AU187" i="16" s="1"/>
  <c r="AU188" i="16" s="1"/>
  <c r="AU189" i="16" s="1"/>
  <c r="AU190" i="16" s="1"/>
  <c r="AU191" i="16" s="1"/>
  <c r="AU192" i="16" s="1"/>
  <c r="AU193" i="16" s="1"/>
  <c r="AU194" i="16" s="1"/>
  <c r="AU195" i="16" s="1"/>
  <c r="AU196" i="16" s="1"/>
  <c r="AU197" i="16" s="1"/>
  <c r="AU198" i="16" s="1"/>
  <c r="AU199" i="16" s="1"/>
  <c r="AU200" i="16" s="1"/>
  <c r="AU201" i="16" s="1"/>
  <c r="AU202" i="16" s="1"/>
  <c r="AU203" i="16" s="1"/>
  <c r="AU204" i="16" s="1"/>
  <c r="AU205" i="16" s="1"/>
  <c r="AU206" i="16" s="1"/>
  <c r="AU207" i="16" s="1"/>
  <c r="AU208" i="16" s="1"/>
  <c r="AU209" i="16" s="1"/>
  <c r="AU210" i="16" s="1"/>
  <c r="AU211" i="16" s="1"/>
  <c r="AU212" i="16" s="1"/>
  <c r="AU213" i="16" s="1"/>
  <c r="AU214" i="16" s="1"/>
  <c r="AU215" i="16" s="1"/>
  <c r="AU216" i="16" s="1"/>
  <c r="AU217" i="16" s="1"/>
  <c r="AU218" i="16" s="1"/>
  <c r="AU219" i="16" s="1"/>
  <c r="AU220" i="16" s="1"/>
  <c r="AU221" i="16" s="1"/>
  <c r="AU222" i="16" s="1"/>
  <c r="AU223" i="16" s="1"/>
  <c r="AU224" i="16" s="1"/>
  <c r="AU225" i="16" s="1"/>
  <c r="AU226" i="16" s="1"/>
  <c r="AU227" i="16" s="1"/>
  <c r="AU228" i="16" s="1"/>
  <c r="AU229" i="16" s="1"/>
  <c r="AU230" i="16" s="1"/>
  <c r="AT18" i="16"/>
  <c r="AO129" i="16"/>
  <c r="AO130" i="16" s="1"/>
  <c r="AO131" i="16" s="1"/>
  <c r="AO132" i="16" s="1"/>
  <c r="AO133" i="16" s="1"/>
  <c r="AO134" i="16" s="1"/>
  <c r="AO135" i="16" s="1"/>
  <c r="AO136" i="16" s="1"/>
  <c r="AO137" i="16" s="1"/>
  <c r="AO138" i="16" s="1"/>
  <c r="AO139" i="16" s="1"/>
  <c r="AO140" i="16" s="1"/>
  <c r="AO141" i="16" s="1"/>
  <c r="AO142" i="16" s="1"/>
  <c r="AO143" i="16" s="1"/>
  <c r="AO144" i="16" s="1"/>
  <c r="AO145" i="16" s="1"/>
  <c r="AO146" i="16" s="1"/>
  <c r="AO147" i="16" s="1"/>
  <c r="AO148" i="16" s="1"/>
  <c r="AO149" i="16" s="1"/>
  <c r="AO150" i="16" s="1"/>
  <c r="AO151" i="16" s="1"/>
  <c r="AO152" i="16" s="1"/>
  <c r="AO153" i="16" s="1"/>
  <c r="AO154" i="16" s="1"/>
  <c r="AO155" i="16" s="1"/>
  <c r="AO156" i="16" s="1"/>
  <c r="AO157" i="16" s="1"/>
  <c r="AO158" i="16" s="1"/>
  <c r="AO159" i="16" s="1"/>
  <c r="AO160" i="16" s="1"/>
  <c r="AO161" i="16" s="1"/>
  <c r="AO162" i="16" s="1"/>
  <c r="AO163" i="16" s="1"/>
  <c r="AO164" i="16" s="1"/>
  <c r="AO165" i="16" s="1"/>
  <c r="AO166" i="16" s="1"/>
  <c r="AO167" i="16" s="1"/>
  <c r="AO168" i="16" s="1"/>
  <c r="AO169" i="16" s="1"/>
  <c r="AO170" i="16" s="1"/>
  <c r="AO171" i="16" s="1"/>
  <c r="AO172" i="16" s="1"/>
  <c r="AO173" i="16" s="1"/>
  <c r="AO174" i="16" s="1"/>
  <c r="AO175" i="16" s="1"/>
  <c r="AO176" i="16" s="1"/>
  <c r="AO177" i="16" s="1"/>
  <c r="AO178" i="16" s="1"/>
  <c r="AO179" i="16" s="1"/>
  <c r="AO180" i="16" s="1"/>
  <c r="AO181" i="16" s="1"/>
  <c r="AO182" i="16" s="1"/>
  <c r="AO183" i="16" s="1"/>
  <c r="AO184" i="16" s="1"/>
  <c r="AO185" i="16" s="1"/>
  <c r="AO186" i="16" s="1"/>
  <c r="AO187" i="16" s="1"/>
  <c r="AO188" i="16" s="1"/>
  <c r="AO189" i="16" s="1"/>
  <c r="AO190" i="16" s="1"/>
  <c r="AO191" i="16" s="1"/>
  <c r="AO192" i="16" s="1"/>
  <c r="AO193" i="16" s="1"/>
  <c r="AO194" i="16" s="1"/>
  <c r="AO195" i="16" s="1"/>
  <c r="AO196" i="16" s="1"/>
  <c r="AO197" i="16" s="1"/>
  <c r="AO198" i="16" s="1"/>
  <c r="AO199" i="16" s="1"/>
  <c r="AO200" i="16" s="1"/>
  <c r="AO201" i="16" s="1"/>
  <c r="AO202" i="16" s="1"/>
  <c r="AN17" i="16"/>
  <c r="AP16" i="16"/>
  <c r="AP15" i="16"/>
  <c r="AJ16" i="16"/>
  <c r="AH17" i="16"/>
  <c r="AJ15" i="16"/>
  <c r="AD16" i="16"/>
  <c r="AD15" i="16"/>
  <c r="AB19" i="16"/>
  <c r="X15" i="16"/>
  <c r="V16" i="16"/>
  <c r="X16" i="16" s="1"/>
  <c r="V19" i="16"/>
  <c r="D20" i="4"/>
  <c r="M8" i="16"/>
  <c r="D17" i="4"/>
  <c r="E16" i="4"/>
  <c r="B30" i="2"/>
  <c r="B33" i="2"/>
  <c r="P46" i="16"/>
  <c r="R46" i="16" s="1"/>
  <c r="P85" i="16"/>
  <c r="R85" i="16" s="1"/>
  <c r="P136" i="16"/>
  <c r="P19" i="16"/>
  <c r="P106" i="16"/>
  <c r="R106" i="16" s="1"/>
  <c r="F59" i="16"/>
  <c r="F51" i="16"/>
  <c r="F63" i="16"/>
  <c r="F75" i="16"/>
  <c r="F39" i="16"/>
  <c r="F15" i="16"/>
  <c r="F89" i="16"/>
  <c r="F74" i="16"/>
  <c r="F90" i="16"/>
  <c r="F91" i="16"/>
  <c r="D92" i="16"/>
  <c r="F87" i="16"/>
  <c r="F86" i="16"/>
  <c r="F62" i="16"/>
  <c r="F50" i="16"/>
  <c r="F38" i="16"/>
  <c r="F85" i="16"/>
  <c r="F73" i="16"/>
  <c r="F61" i="16"/>
  <c r="F49" i="16"/>
  <c r="F37" i="16"/>
  <c r="F84" i="16"/>
  <c r="F72" i="16"/>
  <c r="F60" i="16"/>
  <c r="F48" i="16"/>
  <c r="F36" i="16"/>
  <c r="F83" i="16"/>
  <c r="F71" i="16"/>
  <c r="F47" i="16"/>
  <c r="F35" i="16"/>
  <c r="F82" i="16"/>
  <c r="F70" i="16"/>
  <c r="F58" i="16"/>
  <c r="F46" i="16"/>
  <c r="F34" i="16"/>
  <c r="F81" i="16"/>
  <c r="F69" i="16"/>
  <c r="F57" i="16"/>
  <c r="F33" i="16"/>
  <c r="F80" i="16"/>
  <c r="F68" i="16"/>
  <c r="F56" i="16"/>
  <c r="F44" i="16"/>
  <c r="F32" i="16"/>
  <c r="F79" i="16"/>
  <c r="F67" i="16"/>
  <c r="F55" i="16"/>
  <c r="F43" i="16"/>
  <c r="F31" i="16"/>
  <c r="F78" i="16"/>
  <c r="F66" i="16"/>
  <c r="F54" i="16"/>
  <c r="F42" i="16"/>
  <c r="F77" i="16"/>
  <c r="F65" i="16"/>
  <c r="F53" i="16"/>
  <c r="F41" i="16"/>
  <c r="F88" i="16"/>
  <c r="F76" i="16"/>
  <c r="F64" i="16"/>
  <c r="F52" i="16"/>
  <c r="F40" i="16"/>
  <c r="D16" i="16"/>
  <c r="D13" i="13"/>
  <c r="D13" i="12"/>
  <c r="B215" i="2"/>
  <c r="B216" i="2"/>
  <c r="B217" i="2"/>
  <c r="B218" i="2"/>
  <c r="B219" i="2"/>
  <c r="B220" i="2"/>
  <c r="B221" i="2"/>
  <c r="B222" i="2"/>
  <c r="B223" i="2"/>
  <c r="B224" i="2"/>
  <c r="B225" i="2"/>
  <c r="B183" i="2"/>
  <c r="B184" i="2"/>
  <c r="B185" i="2"/>
  <c r="B186" i="2"/>
  <c r="B189" i="2"/>
  <c r="B190" i="2"/>
  <c r="B191" i="2"/>
  <c r="B192" i="2"/>
  <c r="B193" i="2"/>
  <c r="B194" i="2"/>
  <c r="B195" i="2"/>
  <c r="B196" i="2"/>
  <c r="B201" i="2"/>
  <c r="B202" i="2"/>
  <c r="B203" i="2"/>
  <c r="B204" i="2"/>
  <c r="B205" i="2"/>
  <c r="B206" i="2"/>
  <c r="B207" i="2"/>
  <c r="B208" i="2"/>
  <c r="B213" i="2"/>
  <c r="B214" i="2"/>
  <c r="B141" i="2"/>
  <c r="B142" i="2"/>
  <c r="B146" i="2"/>
  <c r="B147" i="2"/>
  <c r="B148" i="2"/>
  <c r="B149" i="2"/>
  <c r="B152" i="2"/>
  <c r="B153" i="2"/>
  <c r="B154" i="2"/>
  <c r="B158" i="2"/>
  <c r="B159" i="2"/>
  <c r="B160" i="2"/>
  <c r="B161" i="2"/>
  <c r="B164" i="2"/>
  <c r="B165" i="2"/>
  <c r="B166" i="2"/>
  <c r="B167" i="2"/>
  <c r="B168" i="2"/>
  <c r="B169" i="2"/>
  <c r="B170" i="2"/>
  <c r="B171" i="2"/>
  <c r="B172" i="2"/>
  <c r="B173" i="2"/>
  <c r="B174" i="2"/>
  <c r="B175" i="2"/>
  <c r="B176" i="2"/>
  <c r="B177" i="2"/>
  <c r="B178" i="2"/>
  <c r="B179" i="2"/>
  <c r="B180" i="2"/>
  <c r="B140" i="2"/>
  <c r="B34" i="2" l="1"/>
  <c r="L71" i="16"/>
  <c r="L65" i="16"/>
  <c r="R45" i="16"/>
  <c r="D100" i="4"/>
  <c r="D131" i="4"/>
  <c r="R136" i="16"/>
  <c r="B32" i="2"/>
  <c r="L59" i="16"/>
  <c r="L53" i="16"/>
  <c r="L70" i="16"/>
  <c r="L64" i="16"/>
  <c r="E173" i="4"/>
  <c r="L58" i="16"/>
  <c r="L76" i="16"/>
  <c r="E30" i="4"/>
  <c r="E78" i="4"/>
  <c r="D103" i="4"/>
  <c r="D32" i="4"/>
  <c r="J21" i="3" s="1"/>
  <c r="C151" i="2" s="1"/>
  <c r="D117" i="4"/>
  <c r="L75" i="16"/>
  <c r="L69" i="16"/>
  <c r="L125" i="16"/>
  <c r="D28" i="4"/>
  <c r="J17" i="3" s="1"/>
  <c r="C147" i="2" s="1"/>
  <c r="D76" i="4"/>
  <c r="D166" i="4"/>
  <c r="D141" i="4"/>
  <c r="L63" i="16"/>
  <c r="L57" i="16"/>
  <c r="D30" i="4"/>
  <c r="E76" i="4"/>
  <c r="L74" i="16"/>
  <c r="L68" i="16"/>
  <c r="R133" i="16"/>
  <c r="D77" i="4"/>
  <c r="J41" i="3" s="1"/>
  <c r="C171" i="2" s="1"/>
  <c r="C223" i="14" s="1"/>
  <c r="D129" i="4"/>
  <c r="O129" i="4" s="1"/>
  <c r="L62" i="16"/>
  <c r="L56" i="16"/>
  <c r="R134" i="16"/>
  <c r="D78" i="4"/>
  <c r="L73" i="16"/>
  <c r="L67" i="16"/>
  <c r="R132" i="16"/>
  <c r="D79" i="4"/>
  <c r="D54" i="4"/>
  <c r="J33" i="3" s="1"/>
  <c r="C163" i="2" s="1"/>
  <c r="L61" i="16"/>
  <c r="D127" i="4"/>
  <c r="J66" i="3" s="1"/>
  <c r="C196" i="2" s="1"/>
  <c r="C255" i="14" s="1"/>
  <c r="D18" i="4"/>
  <c r="J12" i="3" s="1"/>
  <c r="C142" i="2" s="1"/>
  <c r="C186" i="14" s="1"/>
  <c r="D21" i="4"/>
  <c r="L55" i="16"/>
  <c r="D19" i="4"/>
  <c r="J13" i="3" s="1"/>
  <c r="C143" i="2" s="1"/>
  <c r="C187" i="13" s="1"/>
  <c r="L72" i="16"/>
  <c r="L128" i="16"/>
  <c r="L126" i="16"/>
  <c r="E49" i="4"/>
  <c r="D130" i="4"/>
  <c r="E70" i="4"/>
  <c r="D150" i="4"/>
  <c r="J79" i="3" s="1"/>
  <c r="C209" i="2" s="1"/>
  <c r="C270" i="13" s="1"/>
  <c r="D90" i="4"/>
  <c r="J49" i="3" s="1"/>
  <c r="C179" i="2" s="1"/>
  <c r="C232" i="13" s="1"/>
  <c r="CM4" i="16"/>
  <c r="CL17" i="16" s="1"/>
  <c r="B107" i="2"/>
  <c r="D176" i="4"/>
  <c r="B108" i="2"/>
  <c r="B109" i="2"/>
  <c r="B110" i="2"/>
  <c r="D173" i="4"/>
  <c r="B106" i="2"/>
  <c r="D82" i="4"/>
  <c r="R84" i="16"/>
  <c r="D116" i="4"/>
  <c r="J60" i="3" s="1"/>
  <c r="C190" i="2" s="1"/>
  <c r="C248" i="14" s="1"/>
  <c r="D167" i="4"/>
  <c r="J86" i="3" s="1"/>
  <c r="C216" i="2" s="1"/>
  <c r="C283" i="14" s="1"/>
  <c r="AE4" i="16"/>
  <c r="AD19" i="16" s="1"/>
  <c r="B48" i="2"/>
  <c r="B49" i="2"/>
  <c r="B50" i="2"/>
  <c r="B51" i="2"/>
  <c r="B52" i="2"/>
  <c r="C52" i="2" s="1"/>
  <c r="B47" i="2"/>
  <c r="M4" i="16"/>
  <c r="B29" i="2"/>
  <c r="D16" i="4"/>
  <c r="R82" i="16"/>
  <c r="R83" i="16"/>
  <c r="E50" i="4"/>
  <c r="E79" i="4"/>
  <c r="D119" i="4"/>
  <c r="E137" i="4"/>
  <c r="D165" i="4"/>
  <c r="E39" i="4"/>
  <c r="E40" i="4"/>
  <c r="E38" i="4"/>
  <c r="D42" i="4"/>
  <c r="O42" i="4" s="1"/>
  <c r="E80" i="4"/>
  <c r="E101" i="4"/>
  <c r="E115" i="4"/>
  <c r="D138" i="4"/>
  <c r="J72" i="3" s="1"/>
  <c r="C202" i="2" s="1"/>
  <c r="CS4" i="16"/>
  <c r="CR17" i="16" s="1"/>
  <c r="B114" i="2"/>
  <c r="B111" i="2"/>
  <c r="C111" i="2" s="1"/>
  <c r="D185" i="4"/>
  <c r="D183" i="4"/>
  <c r="J92" i="3" s="1"/>
  <c r="C222" i="2" s="1"/>
  <c r="C291" i="13" s="1"/>
  <c r="B112" i="2"/>
  <c r="B113" i="2"/>
  <c r="E18" i="4"/>
  <c r="BC4" i="16"/>
  <c r="B74" i="2"/>
  <c r="E100" i="4"/>
  <c r="B75" i="2"/>
  <c r="B76" i="2"/>
  <c r="B77" i="2"/>
  <c r="B72" i="2"/>
  <c r="B73" i="2"/>
  <c r="E51" i="4"/>
  <c r="D66" i="4"/>
  <c r="E81" i="4"/>
  <c r="E102" i="4"/>
  <c r="D115" i="4"/>
  <c r="D177" i="4"/>
  <c r="J91" i="3" s="1"/>
  <c r="C221" i="2" s="1"/>
  <c r="C289" i="13" s="1"/>
  <c r="AQ4" i="16"/>
  <c r="B60" i="2"/>
  <c r="B61" i="2"/>
  <c r="D81" i="4"/>
  <c r="B62" i="2"/>
  <c r="B63" i="2"/>
  <c r="B64" i="2"/>
  <c r="B65" i="2"/>
  <c r="B59" i="2"/>
  <c r="BU4" i="16"/>
  <c r="D140" i="4"/>
  <c r="B91" i="2"/>
  <c r="B92" i="2"/>
  <c r="B93" i="2"/>
  <c r="B94" i="2"/>
  <c r="B95" i="2"/>
  <c r="B90" i="2"/>
  <c r="D43" i="4"/>
  <c r="O43" i="4" s="1"/>
  <c r="D39" i="4"/>
  <c r="J23" i="3" s="1"/>
  <c r="C153" i="2" s="1"/>
  <c r="D40" i="4"/>
  <c r="D41" i="4"/>
  <c r="E52" i="4"/>
  <c r="D67" i="4"/>
  <c r="E82" i="4"/>
  <c r="E103" i="4"/>
  <c r="D137" i="4"/>
  <c r="J71" i="3" s="1"/>
  <c r="C201" i="2" s="1"/>
  <c r="D175" i="4"/>
  <c r="BO4" i="16"/>
  <c r="B86" i="2"/>
  <c r="B87" i="2"/>
  <c r="C87" i="2" s="1"/>
  <c r="B88" i="2"/>
  <c r="B89" i="2"/>
  <c r="B84" i="2"/>
  <c r="B85" i="2"/>
  <c r="AK4" i="16"/>
  <c r="B54" i="2"/>
  <c r="B55" i="2"/>
  <c r="B56" i="2"/>
  <c r="E66" i="4"/>
  <c r="B57" i="2"/>
  <c r="E68" i="4"/>
  <c r="B58" i="2"/>
  <c r="E69" i="4"/>
  <c r="B53" i="2"/>
  <c r="Y4" i="16"/>
  <c r="B42" i="2"/>
  <c r="B43" i="2"/>
  <c r="B44" i="2"/>
  <c r="B45" i="2"/>
  <c r="B46" i="2"/>
  <c r="B41" i="2"/>
  <c r="D68" i="4"/>
  <c r="D120" i="4"/>
  <c r="J64" i="3" s="1"/>
  <c r="C194" i="2" s="1"/>
  <c r="C252" i="14" s="1"/>
  <c r="D139" i="4"/>
  <c r="CA4" i="16"/>
  <c r="B98" i="2"/>
  <c r="B99" i="2"/>
  <c r="B100" i="2"/>
  <c r="C100" i="2" s="1"/>
  <c r="B101" i="2"/>
  <c r="B96" i="2"/>
  <c r="E148" i="4"/>
  <c r="D148" i="4"/>
  <c r="J77" i="3" s="1"/>
  <c r="C207" i="2" s="1"/>
  <c r="C268" i="14" s="1"/>
  <c r="B97" i="2"/>
  <c r="D29" i="4"/>
  <c r="D31" i="4"/>
  <c r="J20" i="3" s="1"/>
  <c r="C150" i="2" s="1"/>
  <c r="D50" i="4"/>
  <c r="D69" i="4"/>
  <c r="D142" i="4"/>
  <c r="CG4" i="16"/>
  <c r="E164" i="4"/>
  <c r="D164" i="4"/>
  <c r="B103" i="2"/>
  <c r="B104" i="2"/>
  <c r="B105" i="2"/>
  <c r="B102" i="2"/>
  <c r="D51" i="4"/>
  <c r="D70" i="4"/>
  <c r="J39" i="3" s="1"/>
  <c r="C169" i="2" s="1"/>
  <c r="C220" i="13" s="1"/>
  <c r="D151" i="4"/>
  <c r="D186" i="4"/>
  <c r="S4" i="16"/>
  <c r="B36" i="2"/>
  <c r="B37" i="2"/>
  <c r="B38" i="2"/>
  <c r="B39" i="2"/>
  <c r="B40" i="2"/>
  <c r="B35" i="2"/>
  <c r="BI4" i="16"/>
  <c r="BH17" i="16" s="1"/>
  <c r="D118" i="4"/>
  <c r="B79" i="2"/>
  <c r="B80" i="2"/>
  <c r="B81" i="2"/>
  <c r="B82" i="2"/>
  <c r="B83" i="2"/>
  <c r="B78" i="2"/>
  <c r="E28" i="4"/>
  <c r="D53" i="4"/>
  <c r="J32" i="3" s="1"/>
  <c r="C162" i="2" s="1"/>
  <c r="E67" i="4"/>
  <c r="D80" i="4"/>
  <c r="J44" i="3" s="1"/>
  <c r="C174" i="2" s="1"/>
  <c r="C226" i="13" s="1"/>
  <c r="D104" i="4"/>
  <c r="D152" i="4"/>
  <c r="E91" i="4"/>
  <c r="E92" i="4"/>
  <c r="D89" i="4"/>
  <c r="D91" i="4"/>
  <c r="D92" i="4"/>
  <c r="AW4" i="16"/>
  <c r="AV17" i="16" s="1"/>
  <c r="B66" i="2"/>
  <c r="B67" i="2"/>
  <c r="D88" i="4"/>
  <c r="J47" i="3" s="1"/>
  <c r="C177" i="2" s="1"/>
  <c r="C230" i="14" s="1"/>
  <c r="B68" i="2"/>
  <c r="B69" i="2"/>
  <c r="B70" i="2"/>
  <c r="B71" i="2"/>
  <c r="C71" i="2" s="1"/>
  <c r="E89" i="4"/>
  <c r="D93" i="4"/>
  <c r="O93" i="4" s="1"/>
  <c r="L40" i="16"/>
  <c r="L52" i="16"/>
  <c r="L41" i="16"/>
  <c r="L42" i="16"/>
  <c r="L43" i="16"/>
  <c r="L44" i="16"/>
  <c r="L45" i="16"/>
  <c r="L46" i="16"/>
  <c r="L47" i="16"/>
  <c r="L48" i="16"/>
  <c r="L49" i="16"/>
  <c r="L38" i="16"/>
  <c r="L50" i="16"/>
  <c r="L39" i="16"/>
  <c r="L51" i="16"/>
  <c r="CP19" i="16"/>
  <c r="CR18" i="16"/>
  <c r="CJ19" i="16"/>
  <c r="CL18" i="16"/>
  <c r="CF17" i="16"/>
  <c r="CD18" i="16"/>
  <c r="BZ17" i="16"/>
  <c r="BX18" i="16"/>
  <c r="BT17" i="16"/>
  <c r="BR18" i="16"/>
  <c r="BN16" i="16"/>
  <c r="BL17" i="16"/>
  <c r="BF19" i="16"/>
  <c r="BH18" i="16"/>
  <c r="BB17" i="16"/>
  <c r="AZ18" i="16"/>
  <c r="AV18" i="16"/>
  <c r="AT19" i="16"/>
  <c r="AP17" i="16"/>
  <c r="AN18" i="16"/>
  <c r="AH18" i="16"/>
  <c r="AJ17" i="16"/>
  <c r="AB20" i="16"/>
  <c r="V20" i="16"/>
  <c r="P107" i="16"/>
  <c r="R107" i="16" s="1"/>
  <c r="P20" i="16"/>
  <c r="R20" i="16" s="1"/>
  <c r="P137" i="16"/>
  <c r="R137" i="16" s="1"/>
  <c r="P86" i="16"/>
  <c r="R86" i="16" s="1"/>
  <c r="P47" i="16"/>
  <c r="R47" i="16" s="1"/>
  <c r="D93" i="16"/>
  <c r="F92" i="16"/>
  <c r="D17" i="16"/>
  <c r="F16" i="16"/>
  <c r="B184" i="13"/>
  <c r="B184" i="14"/>
  <c r="B262" i="14"/>
  <c r="B262" i="13"/>
  <c r="B292" i="14"/>
  <c r="B292" i="13"/>
  <c r="B233" i="13"/>
  <c r="B233" i="14"/>
  <c r="B198" i="13"/>
  <c r="B198" i="14"/>
  <c r="B261" i="13"/>
  <c r="B261" i="14"/>
  <c r="B247" i="14"/>
  <c r="B247" i="13"/>
  <c r="B232" i="14"/>
  <c r="B232" i="13"/>
  <c r="B230" i="14"/>
  <c r="B230" i="13"/>
  <c r="B193" i="14"/>
  <c r="B193" i="13"/>
  <c r="B287" i="13"/>
  <c r="B287" i="14"/>
  <c r="B215" i="13"/>
  <c r="B215" i="14"/>
  <c r="B191" i="13"/>
  <c r="B191" i="14"/>
  <c r="B238" i="14"/>
  <c r="B238" i="13"/>
  <c r="B268" i="14"/>
  <c r="B268" i="13"/>
  <c r="B225" i="14"/>
  <c r="B225" i="13"/>
  <c r="B206" i="13"/>
  <c r="B206" i="14"/>
  <c r="B266" i="13"/>
  <c r="B266" i="14"/>
  <c r="B252" i="13"/>
  <c r="B252" i="14"/>
  <c r="B282" i="13"/>
  <c r="B282" i="14"/>
  <c r="B281" i="14"/>
  <c r="B281" i="13"/>
  <c r="B216" i="13"/>
  <c r="B216" i="14"/>
  <c r="B240" i="14"/>
  <c r="B240" i="13"/>
  <c r="B192" i="14"/>
  <c r="B192" i="13"/>
  <c r="B239" i="14"/>
  <c r="B239" i="13"/>
  <c r="B227" i="14"/>
  <c r="B227" i="13"/>
  <c r="B269" i="14"/>
  <c r="B269" i="13"/>
  <c r="B285" i="14"/>
  <c r="B285" i="13"/>
  <c r="B226" i="13"/>
  <c r="B226" i="14"/>
  <c r="B254" i="13"/>
  <c r="B254" i="14"/>
  <c r="B283" i="14"/>
  <c r="B283" i="13"/>
  <c r="B205" i="14"/>
  <c r="B205" i="13"/>
  <c r="B265" i="13"/>
  <c r="B265" i="14"/>
  <c r="B251" i="14"/>
  <c r="B251" i="13"/>
  <c r="B234" i="13"/>
  <c r="B199" i="14"/>
  <c r="B199" i="13"/>
  <c r="B231" i="14"/>
  <c r="B231" i="13"/>
  <c r="B255" i="14"/>
  <c r="B255" i="13"/>
  <c r="B237" i="14"/>
  <c r="B237" i="13"/>
  <c r="B224" i="14"/>
  <c r="B224" i="13"/>
  <c r="B223" i="13"/>
  <c r="B223" i="14"/>
  <c r="B186" i="14"/>
  <c r="B186" i="13"/>
  <c r="B264" i="13"/>
  <c r="B264" i="14"/>
  <c r="B250" i="14"/>
  <c r="B250" i="13"/>
  <c r="B294" i="13"/>
  <c r="B294" i="14"/>
  <c r="B195" i="14"/>
  <c r="B195" i="13"/>
  <c r="B194" i="14"/>
  <c r="B194" i="13"/>
  <c r="B288" i="13"/>
  <c r="B288" i="14"/>
  <c r="B228" i="13"/>
  <c r="B228" i="14"/>
  <c r="B270" i="13"/>
  <c r="B286" i="13"/>
  <c r="B286" i="14"/>
  <c r="B208" i="13"/>
  <c r="B208" i="14"/>
  <c r="B207" i="14"/>
  <c r="B207" i="13"/>
  <c r="B222" i="13"/>
  <c r="B222" i="14"/>
  <c r="B200" i="14"/>
  <c r="B200" i="13"/>
  <c r="B185" i="14"/>
  <c r="B185" i="13"/>
  <c r="B263" i="14"/>
  <c r="B263" i="13"/>
  <c r="B249" i="14"/>
  <c r="B249" i="13"/>
  <c r="B293" i="14"/>
  <c r="B293" i="13"/>
  <c r="B220" i="13"/>
  <c r="B220" i="14"/>
  <c r="B248" i="13"/>
  <c r="B248" i="14"/>
  <c r="B219" i="14"/>
  <c r="B219" i="13"/>
  <c r="B280" i="14"/>
  <c r="B280" i="13"/>
  <c r="B291" i="14"/>
  <c r="B291" i="13"/>
  <c r="B218" i="14"/>
  <c r="B218" i="13"/>
  <c r="B289" i="14"/>
  <c r="B289" i="13"/>
  <c r="B217" i="14"/>
  <c r="B217" i="13"/>
  <c r="B58" i="5"/>
  <c r="B55" i="5"/>
  <c r="B44" i="5"/>
  <c r="B41" i="5"/>
  <c r="B38" i="5"/>
  <c r="K4" i="6"/>
  <c r="H4" i="4"/>
  <c r="J4" i="3"/>
  <c r="B22" i="9"/>
  <c r="B23" i="9"/>
  <c r="B24" i="9"/>
  <c r="B25" i="9"/>
  <c r="B26" i="9"/>
  <c r="B27" i="9"/>
  <c r="B28" i="9"/>
  <c r="B29" i="9"/>
  <c r="B30" i="9"/>
  <c r="B31" i="9"/>
  <c r="B32" i="9"/>
  <c r="B33" i="9"/>
  <c r="B34" i="9"/>
  <c r="B36" i="9"/>
  <c r="B35" i="9"/>
  <c r="K5" i="2"/>
  <c r="K6" i="2"/>
  <c r="K7" i="2"/>
  <c r="K8" i="2"/>
  <c r="K4" i="2"/>
  <c r="B47" i="9"/>
  <c r="B46" i="9"/>
  <c r="B45" i="9"/>
  <c r="B44" i="9"/>
  <c r="C10" i="6"/>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29" i="2"/>
  <c r="H13" i="5"/>
  <c r="H12" i="5"/>
  <c r="H11" i="5"/>
  <c r="D12" i="5"/>
  <c r="F9" i="1"/>
  <c r="D11" i="5"/>
  <c r="C30" i="6"/>
  <c r="C77" i="2"/>
  <c r="C88" i="2"/>
  <c r="C89" i="2"/>
  <c r="C99" i="2"/>
  <c r="C101" i="2"/>
  <c r="C33" i="2"/>
  <c r="C34" i="2"/>
  <c r="H10" i="3"/>
  <c r="C29" i="2" s="1"/>
  <c r="H11" i="3"/>
  <c r="C30" i="2" s="1"/>
  <c r="H12" i="3"/>
  <c r="C31" i="2" s="1"/>
  <c r="H13" i="3"/>
  <c r="C32" i="2" s="1"/>
  <c r="H14" i="3"/>
  <c r="H15" i="3"/>
  <c r="C7" i="9"/>
  <c r="C8" i="9"/>
  <c r="C6" i="9"/>
  <c r="O20" i="4"/>
  <c r="O21" i="4"/>
  <c r="O151" i="4"/>
  <c r="O152" i="4"/>
  <c r="O153" i="4"/>
  <c r="O130" i="4"/>
  <c r="O131" i="4"/>
  <c r="O104" i="4"/>
  <c r="H45" i="3"/>
  <c r="J45" i="3"/>
  <c r="C175" i="2" s="1"/>
  <c r="C227" i="13" s="1"/>
  <c r="I45" i="3"/>
  <c r="K5" i="6"/>
  <c r="H5" i="4"/>
  <c r="J5" i="3"/>
  <c r="C3" i="9"/>
  <c r="C5" i="9"/>
  <c r="C2" i="9"/>
  <c r="B5" i="9"/>
  <c r="K3" i="6"/>
  <c r="H3" i="4"/>
  <c r="J3" i="3"/>
  <c r="F5" i="6"/>
  <c r="F2" i="6"/>
  <c r="E5" i="3"/>
  <c r="D2" i="3"/>
  <c r="G5" i="4"/>
  <c r="G2" i="4"/>
  <c r="H93" i="3"/>
  <c r="C112" i="2" s="1"/>
  <c r="H94" i="3"/>
  <c r="C113" i="2" s="1"/>
  <c r="H95" i="3"/>
  <c r="C114" i="2" s="1"/>
  <c r="H92" i="3"/>
  <c r="H88" i="3"/>
  <c r="H89" i="3"/>
  <c r="H90" i="3"/>
  <c r="C109" i="2" s="1"/>
  <c r="H91" i="3"/>
  <c r="H87" i="3"/>
  <c r="C106" i="2" s="1"/>
  <c r="H84" i="3"/>
  <c r="H85" i="3"/>
  <c r="H86" i="3"/>
  <c r="H83" i="3"/>
  <c r="C102" i="2" s="1"/>
  <c r="H78" i="3"/>
  <c r="C97" i="2" s="1"/>
  <c r="H79" i="3"/>
  <c r="C98" i="2" s="1"/>
  <c r="H80" i="3"/>
  <c r="H81" i="3"/>
  <c r="H82" i="3"/>
  <c r="H77" i="3"/>
  <c r="H72" i="3"/>
  <c r="H73" i="3"/>
  <c r="H74" i="3"/>
  <c r="H75" i="3"/>
  <c r="C94" i="2" s="1"/>
  <c r="H76" i="3"/>
  <c r="C95" i="2" s="1"/>
  <c r="H71" i="3"/>
  <c r="H66" i="3"/>
  <c r="C85" i="2" s="1"/>
  <c r="H67" i="3"/>
  <c r="H68" i="3"/>
  <c r="H69" i="3"/>
  <c r="H70" i="3"/>
  <c r="H65" i="3"/>
  <c r="C84" i="2" s="1"/>
  <c r="H60" i="3"/>
  <c r="H61" i="3"/>
  <c r="C80" i="2" s="1"/>
  <c r="H62" i="3"/>
  <c r="C81" i="2" s="1"/>
  <c r="H63" i="3"/>
  <c r="H64" i="3"/>
  <c r="C83" i="2" s="1"/>
  <c r="H59" i="3"/>
  <c r="C78" i="2" s="1"/>
  <c r="H54" i="3"/>
  <c r="H55" i="3"/>
  <c r="H56" i="3"/>
  <c r="H57" i="3"/>
  <c r="C76" i="2" s="1"/>
  <c r="H58" i="3"/>
  <c r="H53" i="3"/>
  <c r="H48" i="3"/>
  <c r="H49" i="3"/>
  <c r="H50" i="3"/>
  <c r="H51" i="3"/>
  <c r="H52" i="3"/>
  <c r="H47" i="3"/>
  <c r="H41" i="3"/>
  <c r="H42" i="3"/>
  <c r="C61" i="2" s="1"/>
  <c r="H43" i="3"/>
  <c r="C62" i="2" s="1"/>
  <c r="H44" i="3"/>
  <c r="C63" i="2" s="1"/>
  <c r="H46" i="3"/>
  <c r="C65" i="2" s="1"/>
  <c r="H40" i="3"/>
  <c r="C59" i="2" s="1"/>
  <c r="H35" i="3"/>
  <c r="H36" i="3"/>
  <c r="H37" i="3"/>
  <c r="H38" i="3"/>
  <c r="C57" i="2" s="1"/>
  <c r="H39" i="3"/>
  <c r="H34" i="3"/>
  <c r="C53" i="2" s="1"/>
  <c r="H29" i="3"/>
  <c r="C48" i="2" s="1"/>
  <c r="H30" i="3"/>
  <c r="C49" i="2" s="1"/>
  <c r="H31" i="3"/>
  <c r="C50" i="2" s="1"/>
  <c r="H32" i="3"/>
  <c r="C51" i="2" s="1"/>
  <c r="H33" i="3"/>
  <c r="H28" i="3"/>
  <c r="C47" i="2" s="1"/>
  <c r="H23" i="3"/>
  <c r="C42" i="2" s="1"/>
  <c r="H24" i="3"/>
  <c r="C43" i="2" s="1"/>
  <c r="H25" i="3"/>
  <c r="H26" i="3"/>
  <c r="H27" i="3"/>
  <c r="H22" i="3"/>
  <c r="C41" i="2" s="1"/>
  <c r="H17" i="3"/>
  <c r="C36" i="2" s="1"/>
  <c r="H18" i="3"/>
  <c r="H19" i="3"/>
  <c r="H20" i="3"/>
  <c r="H21" i="3"/>
  <c r="H16" i="3"/>
  <c r="I93" i="3"/>
  <c r="J93" i="3"/>
  <c r="C223" i="2" s="1"/>
  <c r="C292" i="14" s="1"/>
  <c r="I94" i="3"/>
  <c r="J94" i="3"/>
  <c r="C224" i="2" s="1"/>
  <c r="C293" i="13" s="1"/>
  <c r="I95" i="3"/>
  <c r="J95" i="3"/>
  <c r="C225" i="2" s="1"/>
  <c r="C294" i="14" s="1"/>
  <c r="I92" i="3"/>
  <c r="I88" i="3"/>
  <c r="J88" i="3"/>
  <c r="C218" i="2" s="1"/>
  <c r="C286" i="14" s="1"/>
  <c r="I89" i="3"/>
  <c r="J89" i="3"/>
  <c r="C219" i="2" s="1"/>
  <c r="C287" i="13" s="1"/>
  <c r="I90" i="3"/>
  <c r="J90" i="3"/>
  <c r="C220" i="2" s="1"/>
  <c r="C288" i="13" s="1"/>
  <c r="I91" i="3"/>
  <c r="J87" i="3"/>
  <c r="C217" i="2" s="1"/>
  <c r="C285" i="13" s="1"/>
  <c r="I87" i="3"/>
  <c r="I84" i="3"/>
  <c r="J84" i="3"/>
  <c r="C214" i="2" s="1"/>
  <c r="C281" i="13" s="1"/>
  <c r="I85" i="3"/>
  <c r="J85" i="3"/>
  <c r="C215" i="2" s="1"/>
  <c r="C282" i="14" s="1"/>
  <c r="I86" i="3"/>
  <c r="J83" i="3"/>
  <c r="C213" i="2" s="1"/>
  <c r="C280" i="13" s="1"/>
  <c r="I83" i="3"/>
  <c r="I78" i="3"/>
  <c r="J78" i="3"/>
  <c r="C208" i="2" s="1"/>
  <c r="C269" i="13" s="1"/>
  <c r="I79" i="3"/>
  <c r="B209" i="2" s="1"/>
  <c r="B270" i="14" s="1"/>
  <c r="I80" i="3"/>
  <c r="B210" i="2" s="1"/>
  <c r="B271" i="14" s="1"/>
  <c r="J80" i="3"/>
  <c r="C210" i="2" s="1"/>
  <c r="C271" i="13" s="1"/>
  <c r="I81" i="3"/>
  <c r="B211" i="2" s="1"/>
  <c r="B272" i="13" s="1"/>
  <c r="J81" i="3"/>
  <c r="C211" i="2" s="1"/>
  <c r="C272" i="13" s="1"/>
  <c r="I82" i="3"/>
  <c r="B212" i="2" s="1"/>
  <c r="B273" i="13" s="1"/>
  <c r="J82" i="3"/>
  <c r="C212" i="2" s="1"/>
  <c r="C273" i="14" s="1"/>
  <c r="I77" i="3"/>
  <c r="I72" i="3"/>
  <c r="I73" i="3"/>
  <c r="J73" i="3"/>
  <c r="C203" i="2" s="1"/>
  <c r="I74" i="3"/>
  <c r="J74" i="3"/>
  <c r="C204" i="2" s="1"/>
  <c r="I75" i="3"/>
  <c r="J75" i="3"/>
  <c r="C205" i="2" s="1"/>
  <c r="I76" i="3"/>
  <c r="J76" i="3"/>
  <c r="C206" i="2" s="1"/>
  <c r="I71" i="3"/>
  <c r="I66" i="3"/>
  <c r="I67" i="3"/>
  <c r="B197" i="2" s="1"/>
  <c r="B256" i="14" s="1"/>
  <c r="J67" i="3"/>
  <c r="C197" i="2" s="1"/>
  <c r="C256" i="13" s="1"/>
  <c r="I68" i="3"/>
  <c r="B198" i="2" s="1"/>
  <c r="B257" i="13" s="1"/>
  <c r="I69" i="3"/>
  <c r="B199" i="2" s="1"/>
  <c r="B258" i="13" s="1"/>
  <c r="J69" i="3"/>
  <c r="C199" i="2" s="1"/>
  <c r="C258" i="13" s="1"/>
  <c r="I70" i="3"/>
  <c r="B200" i="2" s="1"/>
  <c r="B259" i="14" s="1"/>
  <c r="J70" i="3"/>
  <c r="C200" i="2" s="1"/>
  <c r="C259" i="13" s="1"/>
  <c r="J65" i="3"/>
  <c r="C195" i="2" s="1"/>
  <c r="C254" i="14" s="1"/>
  <c r="I65" i="3"/>
  <c r="I60" i="3"/>
  <c r="I61" i="3"/>
  <c r="J61" i="3"/>
  <c r="C191" i="2" s="1"/>
  <c r="C249" i="13" s="1"/>
  <c r="I62" i="3"/>
  <c r="J62" i="3"/>
  <c r="C192" i="2" s="1"/>
  <c r="C250" i="14" s="1"/>
  <c r="I63" i="3"/>
  <c r="J63" i="3"/>
  <c r="C193" i="2" s="1"/>
  <c r="C251" i="13" s="1"/>
  <c r="I64" i="3"/>
  <c r="J59" i="3"/>
  <c r="C189" i="2" s="1"/>
  <c r="C247" i="13" s="1"/>
  <c r="I59" i="3"/>
  <c r="F100" i="4"/>
  <c r="F101" i="4"/>
  <c r="F102" i="4"/>
  <c r="F103" i="4"/>
  <c r="F104" i="4"/>
  <c r="F89" i="4"/>
  <c r="F90" i="4"/>
  <c r="F91" i="4"/>
  <c r="F92" i="4"/>
  <c r="F93" i="4"/>
  <c r="F77" i="4"/>
  <c r="F78" i="4"/>
  <c r="F79" i="4"/>
  <c r="F80" i="4"/>
  <c r="F82" i="4"/>
  <c r="F76" i="4"/>
  <c r="F66" i="4"/>
  <c r="F67" i="4"/>
  <c r="F68" i="4"/>
  <c r="F69" i="4"/>
  <c r="F70" i="4"/>
  <c r="F65" i="4"/>
  <c r="F50" i="4"/>
  <c r="F51" i="4"/>
  <c r="F52" i="4"/>
  <c r="F53" i="4"/>
  <c r="F54" i="4"/>
  <c r="F49" i="4"/>
  <c r="F39" i="4"/>
  <c r="F40" i="4"/>
  <c r="F41" i="4"/>
  <c r="F42" i="4"/>
  <c r="F43" i="4"/>
  <c r="F38" i="4"/>
  <c r="F28" i="4"/>
  <c r="F29" i="4"/>
  <c r="F30" i="4"/>
  <c r="F31" i="4"/>
  <c r="F32" i="4"/>
  <c r="F27" i="4"/>
  <c r="I54" i="3"/>
  <c r="J54" i="3"/>
  <c r="C184" i="2" s="1"/>
  <c r="C238" i="14" s="1"/>
  <c r="I55" i="3"/>
  <c r="J55" i="3"/>
  <c r="C185" i="2" s="1"/>
  <c r="C239" i="13" s="1"/>
  <c r="I56" i="3"/>
  <c r="J56" i="3"/>
  <c r="C186" i="2" s="1"/>
  <c r="C240" i="13" s="1"/>
  <c r="I57" i="3"/>
  <c r="B187" i="2" s="1"/>
  <c r="B241" i="13" s="1"/>
  <c r="J57" i="3"/>
  <c r="C187" i="2" s="1"/>
  <c r="C241" i="13" s="1"/>
  <c r="I58" i="3"/>
  <c r="B188" i="2" s="1"/>
  <c r="B242" i="14" s="1"/>
  <c r="J58" i="3"/>
  <c r="C188" i="2" s="1"/>
  <c r="C242" i="14" s="1"/>
  <c r="J53" i="3"/>
  <c r="C183" i="2" s="1"/>
  <c r="C237" i="13" s="1"/>
  <c r="I53" i="3"/>
  <c r="I48" i="3"/>
  <c r="J48" i="3"/>
  <c r="C178" i="2" s="1"/>
  <c r="C231" i="14" s="1"/>
  <c r="I49" i="3"/>
  <c r="I50" i="3"/>
  <c r="J50" i="3"/>
  <c r="C180" i="2" s="1"/>
  <c r="C233" i="13" s="1"/>
  <c r="I51" i="3"/>
  <c r="B181" i="2" s="1"/>
  <c r="B234" i="14" s="1"/>
  <c r="J51" i="3"/>
  <c r="C181" i="2" s="1"/>
  <c r="C234" i="13" s="1"/>
  <c r="I52" i="3"/>
  <c r="B182" i="2" s="1"/>
  <c r="B235" i="14" s="1"/>
  <c r="J52" i="3"/>
  <c r="C182" i="2" s="1"/>
  <c r="C235" i="14" s="1"/>
  <c r="I47" i="3"/>
  <c r="I41" i="3"/>
  <c r="I42" i="3"/>
  <c r="J42" i="3"/>
  <c r="C172" i="2" s="1"/>
  <c r="C224" i="14" s="1"/>
  <c r="I43" i="3"/>
  <c r="J43" i="3"/>
  <c r="C173" i="2" s="1"/>
  <c r="C225" i="13" s="1"/>
  <c r="I44" i="3"/>
  <c r="I46" i="3"/>
  <c r="J46" i="3"/>
  <c r="C176" i="2" s="1"/>
  <c r="C228" i="13" s="1"/>
  <c r="J40" i="3"/>
  <c r="C170" i="2" s="1"/>
  <c r="C222" i="14" s="1"/>
  <c r="I40" i="3"/>
  <c r="I35" i="3"/>
  <c r="J35" i="3"/>
  <c r="C165" i="2" s="1"/>
  <c r="C216" i="13" s="1"/>
  <c r="I36" i="3"/>
  <c r="J36" i="3"/>
  <c r="C166" i="2" s="1"/>
  <c r="C217" i="14" s="1"/>
  <c r="I37" i="3"/>
  <c r="J37" i="3"/>
  <c r="C167" i="2" s="1"/>
  <c r="C218" i="13" s="1"/>
  <c r="I38" i="3"/>
  <c r="J38" i="3"/>
  <c r="C168" i="2" s="1"/>
  <c r="C219" i="14" s="1"/>
  <c r="I39" i="3"/>
  <c r="J34" i="3"/>
  <c r="C164" i="2" s="1"/>
  <c r="C215" i="13" s="1"/>
  <c r="I34" i="3"/>
  <c r="F17" i="4"/>
  <c r="F18" i="4"/>
  <c r="F19" i="4"/>
  <c r="F20" i="4"/>
  <c r="F21" i="4"/>
  <c r="F16" i="4"/>
  <c r="J28" i="3"/>
  <c r="C158" i="2" s="1"/>
  <c r="C205" i="14" s="1"/>
  <c r="J29" i="3"/>
  <c r="C159" i="2" s="1"/>
  <c r="C206" i="14" s="1"/>
  <c r="J30" i="3"/>
  <c r="C160" i="2" s="1"/>
  <c r="C207" i="13" s="1"/>
  <c r="J31" i="3"/>
  <c r="C161" i="2" s="1"/>
  <c r="C208" i="14" s="1"/>
  <c r="I29" i="3"/>
  <c r="I30" i="3"/>
  <c r="I31" i="3"/>
  <c r="I32" i="3"/>
  <c r="B162" i="2" s="1"/>
  <c r="I33" i="3"/>
  <c r="B163" i="2" s="1"/>
  <c r="I28" i="3"/>
  <c r="I23" i="3"/>
  <c r="I24" i="3"/>
  <c r="J24" i="3"/>
  <c r="C154" i="2" s="1"/>
  <c r="I25" i="3"/>
  <c r="B155" i="2" s="1"/>
  <c r="B201" i="13" s="1"/>
  <c r="J25" i="3"/>
  <c r="C155" i="2" s="1"/>
  <c r="I26" i="3"/>
  <c r="B156" i="2" s="1"/>
  <c r="J26" i="3"/>
  <c r="C156" i="2" s="1"/>
  <c r="I27" i="3"/>
  <c r="B157" i="2" s="1"/>
  <c r="J22" i="3"/>
  <c r="C152" i="2" s="1"/>
  <c r="I22" i="3"/>
  <c r="J18" i="3"/>
  <c r="C148" i="2" s="1"/>
  <c r="J19" i="3"/>
  <c r="C149" i="2" s="1"/>
  <c r="J16" i="3"/>
  <c r="C146" i="2" s="1"/>
  <c r="I17" i="3"/>
  <c r="I18" i="3"/>
  <c r="I19" i="3"/>
  <c r="I20" i="3"/>
  <c r="B150" i="2" s="1"/>
  <c r="I21" i="3"/>
  <c r="B151" i="2" s="1"/>
  <c r="I16" i="3"/>
  <c r="J11" i="3"/>
  <c r="C141" i="2" s="1"/>
  <c r="C185" i="13" s="1"/>
  <c r="J14" i="3"/>
  <c r="C144" i="2" s="1"/>
  <c r="C188" i="13" s="1"/>
  <c r="J15" i="3"/>
  <c r="C145" i="2" s="1"/>
  <c r="C189" i="13" s="1"/>
  <c r="J10" i="3"/>
  <c r="C140" i="2" s="1"/>
  <c r="C184" i="14" s="1"/>
  <c r="I11" i="3"/>
  <c r="I12" i="3"/>
  <c r="I13" i="3"/>
  <c r="B143" i="2" s="1"/>
  <c r="B187" i="14" s="1"/>
  <c r="I14" i="3"/>
  <c r="B144" i="2" s="1"/>
  <c r="B188" i="13" s="1"/>
  <c r="I15" i="3"/>
  <c r="B145" i="2" s="1"/>
  <c r="B189" i="14" s="1"/>
  <c r="I10" i="3"/>
  <c r="B32" i="6"/>
  <c r="B34" i="6"/>
  <c r="B36" i="6"/>
  <c r="B38" i="6"/>
  <c r="B40" i="6"/>
  <c r="B42" i="6"/>
  <c r="B44" i="6"/>
  <c r="B46" i="6"/>
  <c r="B48" i="6"/>
  <c r="B50" i="6"/>
  <c r="B52" i="6"/>
  <c r="B54" i="6"/>
  <c r="B56" i="6"/>
  <c r="B58" i="6"/>
  <c r="B30" i="6"/>
  <c r="B180" i="4"/>
  <c r="E180" i="4" s="1"/>
  <c r="B170" i="4"/>
  <c r="B161" i="4"/>
  <c r="F160" i="4" s="1"/>
  <c r="B145" i="4"/>
  <c r="E145" i="4" s="1"/>
  <c r="B134" i="4"/>
  <c r="F133" i="4" s="1"/>
  <c r="B123" i="4"/>
  <c r="B112" i="4"/>
  <c r="B96" i="4"/>
  <c r="F95" i="4" s="1"/>
  <c r="B85" i="4"/>
  <c r="E85" i="4" s="1"/>
  <c r="B73" i="4"/>
  <c r="B77" i="4" s="1"/>
  <c r="N77" i="4" s="1"/>
  <c r="B62" i="4"/>
  <c r="F61" i="4" s="1"/>
  <c r="B46" i="4"/>
  <c r="E46" i="4" s="1"/>
  <c r="B35" i="4"/>
  <c r="B24" i="4"/>
  <c r="F23" i="4" s="1"/>
  <c r="B13" i="4"/>
  <c r="F12" i="4" s="1"/>
  <c r="B119" i="4"/>
  <c r="E119" i="4" s="1"/>
  <c r="C58" i="6"/>
  <c r="C56" i="6"/>
  <c r="C54" i="6"/>
  <c r="C25" i="6"/>
  <c r="C52" i="6"/>
  <c r="C50" i="6"/>
  <c r="C48" i="6"/>
  <c r="C46" i="6"/>
  <c r="C23" i="6"/>
  <c r="C44" i="6"/>
  <c r="C42" i="6"/>
  <c r="C40" i="6"/>
  <c r="C38" i="6"/>
  <c r="C21" i="6"/>
  <c r="C36" i="6"/>
  <c r="C34" i="6"/>
  <c r="C32" i="6"/>
  <c r="C19" i="6"/>
  <c r="C92" i="3"/>
  <c r="C87" i="3"/>
  <c r="C83" i="3"/>
  <c r="B83" i="3"/>
  <c r="C77" i="3"/>
  <c r="C71" i="3"/>
  <c r="C65" i="3"/>
  <c r="C59" i="3"/>
  <c r="B59" i="3"/>
  <c r="C53" i="3"/>
  <c r="C47" i="3"/>
  <c r="C40" i="3"/>
  <c r="C34" i="3"/>
  <c r="B34" i="3"/>
  <c r="C28" i="3"/>
  <c r="C22" i="3"/>
  <c r="C16" i="3"/>
  <c r="C10" i="3"/>
  <c r="B10" i="3"/>
  <c r="O54" i="4" l="1"/>
  <c r="J27" i="3"/>
  <c r="C157" i="2" s="1"/>
  <c r="O32" i="4"/>
  <c r="C93" i="2"/>
  <c r="J68" i="3"/>
  <c r="C198" i="2" s="1"/>
  <c r="C257" i="14" s="1"/>
  <c r="C56" i="2"/>
  <c r="C37" i="2"/>
  <c r="C103" i="2"/>
  <c r="C54" i="2"/>
  <c r="C67" i="2"/>
  <c r="C91" i="2"/>
  <c r="C44" i="2"/>
  <c r="C38" i="2"/>
  <c r="C74" i="2"/>
  <c r="C82" i="2"/>
  <c r="C79" i="2"/>
  <c r="C72" i="2"/>
  <c r="C108" i="2"/>
  <c r="C86" i="2"/>
  <c r="O77" i="4"/>
  <c r="A171" i="2" s="1"/>
  <c r="H223" i="13" s="1"/>
  <c r="C45" i="2"/>
  <c r="C55" i="2"/>
  <c r="C92" i="2"/>
  <c r="C40" i="2"/>
  <c r="C68" i="2"/>
  <c r="C39" i="2"/>
  <c r="C75" i="2"/>
  <c r="C60" i="2"/>
  <c r="C46" i="2"/>
  <c r="C105" i="2"/>
  <c r="C110" i="2"/>
  <c r="AD18" i="16"/>
  <c r="AD17" i="16"/>
  <c r="C35" i="2"/>
  <c r="R18" i="16"/>
  <c r="R17" i="16"/>
  <c r="C64" i="2"/>
  <c r="C58" i="2"/>
  <c r="X20" i="16"/>
  <c r="X18" i="16"/>
  <c r="X17" i="16"/>
  <c r="X19" i="16"/>
  <c r="L34" i="16"/>
  <c r="L30" i="16"/>
  <c r="L18" i="16"/>
  <c r="L35" i="16"/>
  <c r="L29" i="16"/>
  <c r="L31" i="16"/>
  <c r="L37" i="16"/>
  <c r="L19" i="16"/>
  <c r="L28" i="16"/>
  <c r="L26" i="16"/>
  <c r="L21" i="16"/>
  <c r="L25" i="16"/>
  <c r="L17" i="16"/>
  <c r="L27" i="16"/>
  <c r="L36" i="16"/>
  <c r="L24" i="16"/>
  <c r="L33" i="16"/>
  <c r="L20" i="16"/>
  <c r="L22" i="16"/>
  <c r="L23" i="16"/>
  <c r="L32" i="16"/>
  <c r="R19" i="16"/>
  <c r="C66" i="2"/>
  <c r="C70" i="2"/>
  <c r="C69" i="2"/>
  <c r="C251" i="14"/>
  <c r="C294" i="13"/>
  <c r="C292" i="13"/>
  <c r="C293" i="14"/>
  <c r="C291" i="14"/>
  <c r="C288" i="14"/>
  <c r="C287" i="14"/>
  <c r="C286" i="13"/>
  <c r="C289" i="14"/>
  <c r="C285" i="14"/>
  <c r="C282" i="13"/>
  <c r="C283" i="13"/>
  <c r="C281" i="14"/>
  <c r="C280" i="14"/>
  <c r="C271" i="14"/>
  <c r="C269" i="14"/>
  <c r="C273" i="13"/>
  <c r="C268" i="13"/>
  <c r="A199" i="2"/>
  <c r="H258" i="14" s="1"/>
  <c r="A198" i="2"/>
  <c r="H257" i="14" s="1"/>
  <c r="B257" i="14"/>
  <c r="B258" i="14"/>
  <c r="C255" i="13"/>
  <c r="C259" i="14"/>
  <c r="C254" i="13"/>
  <c r="C252" i="13"/>
  <c r="C250" i="13"/>
  <c r="C249" i="14"/>
  <c r="N119" i="4"/>
  <c r="O119" i="4" s="1"/>
  <c r="A193" i="2" s="1"/>
  <c r="C248" i="13"/>
  <c r="C247" i="14"/>
  <c r="A212" i="2"/>
  <c r="H273" i="14" s="1"/>
  <c r="A211" i="2"/>
  <c r="H272" i="14" s="1"/>
  <c r="C272" i="14"/>
  <c r="A210" i="2"/>
  <c r="H271" i="13" s="1"/>
  <c r="B272" i="14"/>
  <c r="B271" i="13"/>
  <c r="C270" i="14"/>
  <c r="B273" i="14"/>
  <c r="A200" i="2"/>
  <c r="H259" i="14" s="1"/>
  <c r="B259" i="13"/>
  <c r="C257" i="13"/>
  <c r="C256" i="14"/>
  <c r="C258" i="14"/>
  <c r="B256" i="13"/>
  <c r="B242" i="13"/>
  <c r="C240" i="14"/>
  <c r="C238" i="13"/>
  <c r="C239" i="14"/>
  <c r="C237" i="14"/>
  <c r="CP20" i="16"/>
  <c r="CR19" i="16"/>
  <c r="CJ20" i="16"/>
  <c r="CL19" i="16"/>
  <c r="CD19" i="16"/>
  <c r="CF18" i="16"/>
  <c r="BX19" i="16"/>
  <c r="BZ18" i="16"/>
  <c r="BR19" i="16"/>
  <c r="BT18" i="16"/>
  <c r="BN17" i="16"/>
  <c r="BL18" i="16"/>
  <c r="BH19" i="16"/>
  <c r="BF20" i="16"/>
  <c r="AZ19" i="16"/>
  <c r="BB18" i="16"/>
  <c r="C242" i="13"/>
  <c r="B241" i="14"/>
  <c r="C241" i="14"/>
  <c r="A188" i="2"/>
  <c r="H242" i="14" s="1"/>
  <c r="B235" i="13"/>
  <c r="C231" i="13"/>
  <c r="C233" i="14"/>
  <c r="C232" i="14"/>
  <c r="C234" i="14"/>
  <c r="A182" i="2"/>
  <c r="H235" i="13" s="1"/>
  <c r="C235" i="13"/>
  <c r="C230" i="13"/>
  <c r="AV19" i="16"/>
  <c r="AT20" i="16"/>
  <c r="C224" i="13"/>
  <c r="C228" i="14"/>
  <c r="C223" i="13"/>
  <c r="C225" i="14"/>
  <c r="C226" i="14"/>
  <c r="C227" i="14"/>
  <c r="C222" i="13"/>
  <c r="B189" i="13"/>
  <c r="AN19" i="16"/>
  <c r="AP18" i="16"/>
  <c r="C220" i="14"/>
  <c r="C217" i="13"/>
  <c r="C218" i="14"/>
  <c r="C219" i="13"/>
  <c r="C216" i="14"/>
  <c r="C215" i="14"/>
  <c r="AH19" i="16"/>
  <c r="AJ18" i="16"/>
  <c r="C208" i="13"/>
  <c r="C207" i="14"/>
  <c r="C206" i="13"/>
  <c r="C205" i="13"/>
  <c r="AB21" i="16"/>
  <c r="AD20" i="16"/>
  <c r="B201" i="14"/>
  <c r="V21" i="16"/>
  <c r="X21" i="16" s="1"/>
  <c r="P48" i="16"/>
  <c r="R48" i="16" s="1"/>
  <c r="P87" i="16"/>
  <c r="R87" i="16" s="1"/>
  <c r="P138" i="16"/>
  <c r="R138" i="16" s="1"/>
  <c r="P21" i="16"/>
  <c r="R21" i="16" s="1"/>
  <c r="P108" i="16"/>
  <c r="R108" i="16" s="1"/>
  <c r="C185" i="14"/>
  <c r="C186" i="13"/>
  <c r="C189" i="14"/>
  <c r="C184" i="13"/>
  <c r="A144" i="2"/>
  <c r="H188" i="14" s="1"/>
  <c r="C188" i="14"/>
  <c r="B188" i="14"/>
  <c r="B187" i="13"/>
  <c r="A145" i="2"/>
  <c r="C187" i="14"/>
  <c r="F93" i="16"/>
  <c r="D94" i="16"/>
  <c r="D18" i="16"/>
  <c r="F17" i="16"/>
  <c r="C221" i="13"/>
  <c r="B221" i="13"/>
  <c r="B21" i="15"/>
  <c r="P19" i="15" s="1"/>
  <c r="C221" i="14"/>
  <c r="B97" i="13"/>
  <c r="B221" i="14"/>
  <c r="B97" i="14"/>
  <c r="B97" i="5"/>
  <c r="B83" i="5"/>
  <c r="B278" i="13"/>
  <c r="B83" i="14"/>
  <c r="B83" i="13"/>
  <c r="C278" i="14"/>
  <c r="B278" i="14"/>
  <c r="C278" i="13"/>
  <c r="B31" i="15"/>
  <c r="B111" i="13"/>
  <c r="B32" i="15"/>
  <c r="P26" i="15" s="1"/>
  <c r="C279" i="14"/>
  <c r="B111" i="14"/>
  <c r="B111" i="5"/>
  <c r="B279" i="14"/>
  <c r="C279" i="13"/>
  <c r="B279" i="13"/>
  <c r="B79" i="5"/>
  <c r="B213" i="14"/>
  <c r="B79" i="13"/>
  <c r="B79" i="14"/>
  <c r="B19" i="15"/>
  <c r="C213" i="13"/>
  <c r="B213" i="13"/>
  <c r="C213" i="14"/>
  <c r="B284" i="14"/>
  <c r="B113" i="14"/>
  <c r="B33" i="15"/>
  <c r="P27" i="15" s="1"/>
  <c r="B113" i="5"/>
  <c r="B113" i="13"/>
  <c r="C284" i="13"/>
  <c r="C284" i="14"/>
  <c r="B284" i="13"/>
  <c r="B20" i="15"/>
  <c r="P18" i="15" s="1"/>
  <c r="C214" i="13"/>
  <c r="B214" i="13"/>
  <c r="B95" i="13"/>
  <c r="C214" i="14"/>
  <c r="B95" i="14"/>
  <c r="B95" i="5"/>
  <c r="B214" i="14"/>
  <c r="B34" i="15"/>
  <c r="P28" i="15" s="1"/>
  <c r="C290" i="13"/>
  <c r="B115" i="5"/>
  <c r="B290" i="13"/>
  <c r="B115" i="14"/>
  <c r="C290" i="14"/>
  <c r="B290" i="14"/>
  <c r="B115" i="13"/>
  <c r="B87" i="13"/>
  <c r="B87" i="5"/>
  <c r="B87" i="14"/>
  <c r="C183" i="13"/>
  <c r="B14" i="15"/>
  <c r="P14" i="15" s="1"/>
  <c r="B183" i="13"/>
  <c r="C183" i="14"/>
  <c r="B183" i="14"/>
  <c r="C229" i="13"/>
  <c r="C229" i="14"/>
  <c r="B99" i="5"/>
  <c r="B229" i="13"/>
  <c r="B229" i="14"/>
  <c r="B99" i="13"/>
  <c r="B22" i="15"/>
  <c r="P20" i="15" s="1"/>
  <c r="B99" i="14"/>
  <c r="B246" i="14"/>
  <c r="B103" i="5"/>
  <c r="B103" i="13"/>
  <c r="B103" i="14"/>
  <c r="C246" i="13"/>
  <c r="B246" i="13"/>
  <c r="B26" i="15"/>
  <c r="P22" i="15" s="1"/>
  <c r="C246" i="14"/>
  <c r="B236" i="13"/>
  <c r="C236" i="14"/>
  <c r="B236" i="14"/>
  <c r="B101" i="13"/>
  <c r="B101" i="14"/>
  <c r="B23" i="15"/>
  <c r="P21" i="15" s="1"/>
  <c r="B101" i="5"/>
  <c r="C236" i="13"/>
  <c r="B81" i="5"/>
  <c r="C245" i="14"/>
  <c r="B81" i="14"/>
  <c r="B25" i="15"/>
  <c r="B81" i="13"/>
  <c r="C245" i="13"/>
  <c r="B245" i="13"/>
  <c r="B245" i="14"/>
  <c r="B105" i="5"/>
  <c r="B105" i="13"/>
  <c r="B105" i="14"/>
  <c r="C253" i="13"/>
  <c r="B253" i="13"/>
  <c r="C253" i="14"/>
  <c r="B27" i="15"/>
  <c r="P23" i="15" s="1"/>
  <c r="B253" i="14"/>
  <c r="B77" i="5"/>
  <c r="B77" i="13"/>
  <c r="B77" i="14"/>
  <c r="C182" i="13"/>
  <c r="B13" i="15"/>
  <c r="C182" i="14"/>
  <c r="B182" i="13"/>
  <c r="B182" i="14"/>
  <c r="B29" i="15"/>
  <c r="P25" i="15" s="1"/>
  <c r="C267" i="13"/>
  <c r="B109" i="13"/>
  <c r="B109" i="14"/>
  <c r="C267" i="14"/>
  <c r="B267" i="14"/>
  <c r="B267" i="13"/>
  <c r="B109" i="5"/>
  <c r="D18" i="5"/>
  <c r="D18" i="12"/>
  <c r="D18" i="14"/>
  <c r="D18" i="13"/>
  <c r="B89" i="14"/>
  <c r="B15" i="15"/>
  <c r="P15" i="15" s="1"/>
  <c r="C190" i="13"/>
  <c r="C190" i="14"/>
  <c r="B190" i="14"/>
  <c r="B89" i="5"/>
  <c r="B89" i="13"/>
  <c r="B190" i="13"/>
  <c r="B107" i="5"/>
  <c r="B107" i="14"/>
  <c r="C260" i="13"/>
  <c r="B107" i="13"/>
  <c r="B260" i="13"/>
  <c r="C260" i="14"/>
  <c r="B260" i="14"/>
  <c r="B28" i="15"/>
  <c r="P24" i="15" s="1"/>
  <c r="B197" i="13"/>
  <c r="B16" i="15"/>
  <c r="P16" i="15" s="1"/>
  <c r="C197" i="14"/>
  <c r="B91" i="14"/>
  <c r="B197" i="14"/>
  <c r="B91" i="5"/>
  <c r="C197" i="13"/>
  <c r="B91" i="13"/>
  <c r="C204" i="14"/>
  <c r="B17" i="15"/>
  <c r="P17" i="15" s="1"/>
  <c r="B204" i="14"/>
  <c r="B93" i="5"/>
  <c r="C204" i="13"/>
  <c r="B93" i="13"/>
  <c r="B93" i="14"/>
  <c r="B204" i="13"/>
  <c r="B176" i="4"/>
  <c r="E176" i="4" s="1"/>
  <c r="B128" i="4"/>
  <c r="E128" i="4" s="1"/>
  <c r="B68" i="4"/>
  <c r="N68" i="4" s="1"/>
  <c r="O68" i="4" s="1"/>
  <c r="A167" i="2" s="1"/>
  <c r="B118" i="4"/>
  <c r="E118" i="4" s="1"/>
  <c r="B25" i="6"/>
  <c r="B78" i="4"/>
  <c r="N78" i="4" s="1"/>
  <c r="E123" i="4"/>
  <c r="B82" i="4"/>
  <c r="N82" i="4" s="1"/>
  <c r="O82" i="4" s="1"/>
  <c r="A176" i="2" s="1"/>
  <c r="H228" i="14" s="1"/>
  <c r="B103" i="4"/>
  <c r="N103" i="4" s="1"/>
  <c r="O103" i="4" s="1"/>
  <c r="A187" i="2" s="1"/>
  <c r="B127" i="4"/>
  <c r="E127" i="4" s="1"/>
  <c r="B65" i="4"/>
  <c r="N65" i="4" s="1"/>
  <c r="B131" i="4"/>
  <c r="E131" i="4" s="1"/>
  <c r="F122" i="4"/>
  <c r="G65" i="3"/>
  <c r="B139" i="4"/>
  <c r="E139" i="4" s="1"/>
  <c r="B140" i="4"/>
  <c r="E140" i="4" s="1"/>
  <c r="B137" i="4"/>
  <c r="B141" i="4"/>
  <c r="E141" i="4" s="1"/>
  <c r="F57" i="4"/>
  <c r="E134" i="4"/>
  <c r="B117" i="4"/>
  <c r="E117" i="4" s="1"/>
  <c r="C210" i="13"/>
  <c r="C210" i="14"/>
  <c r="B153" i="4"/>
  <c r="E153" i="4" s="1"/>
  <c r="B173" i="4"/>
  <c r="C196" i="13"/>
  <c r="C196" i="14"/>
  <c r="C209" i="13"/>
  <c r="C209" i="14"/>
  <c r="C191" i="13"/>
  <c r="C191" i="14"/>
  <c r="B152" i="4"/>
  <c r="E152" i="4" s="1"/>
  <c r="C195" i="13"/>
  <c r="C195" i="14"/>
  <c r="C200" i="13"/>
  <c r="C200" i="14"/>
  <c r="C263" i="13"/>
  <c r="C263" i="14"/>
  <c r="B202" i="13"/>
  <c r="B202" i="14"/>
  <c r="C264" i="13"/>
  <c r="C264" i="14"/>
  <c r="C194" i="13"/>
  <c r="C194" i="14"/>
  <c r="E112" i="4"/>
  <c r="C193" i="13"/>
  <c r="C193" i="14"/>
  <c r="C199" i="13"/>
  <c r="C199" i="14"/>
  <c r="C262" i="13"/>
  <c r="C262" i="14"/>
  <c r="C192" i="13"/>
  <c r="C192" i="14"/>
  <c r="B115" i="4"/>
  <c r="B186" i="4"/>
  <c r="E186" i="4" s="1"/>
  <c r="B196" i="13"/>
  <c r="B196" i="14"/>
  <c r="C198" i="13"/>
  <c r="C198" i="14"/>
  <c r="B210" i="13"/>
  <c r="B210" i="14"/>
  <c r="C261" i="13"/>
  <c r="C261" i="14"/>
  <c r="B120" i="4"/>
  <c r="E120" i="4" s="1"/>
  <c r="B142" i="4"/>
  <c r="E142" i="4" s="1"/>
  <c r="B20" i="4"/>
  <c r="F144" i="4"/>
  <c r="B149" i="4"/>
  <c r="E149" i="4" s="1"/>
  <c r="C203" i="13"/>
  <c r="C203" i="14"/>
  <c r="C266" i="13"/>
  <c r="C266" i="14"/>
  <c r="C201" i="13"/>
  <c r="C201" i="14"/>
  <c r="B209" i="13"/>
  <c r="B209" i="14"/>
  <c r="B203" i="13"/>
  <c r="B203" i="14"/>
  <c r="F72" i="4"/>
  <c r="G40" i="3"/>
  <c r="C202" i="13"/>
  <c r="C202" i="14"/>
  <c r="C265" i="13"/>
  <c r="C265" i="14"/>
  <c r="E96" i="4"/>
  <c r="H223" i="14"/>
  <c r="B93" i="4"/>
  <c r="B101" i="4"/>
  <c r="N101" i="4" s="1"/>
  <c r="O101" i="4" s="1"/>
  <c r="A185" i="2" s="1"/>
  <c r="H239" i="14" s="1"/>
  <c r="F111" i="4"/>
  <c r="B167" i="4"/>
  <c r="E167" i="4" s="1"/>
  <c r="B100" i="4"/>
  <c r="N100" i="4" s="1"/>
  <c r="O100" i="4" s="1"/>
  <c r="A184" i="2" s="1"/>
  <c r="H238" i="14" s="1"/>
  <c r="G59" i="3"/>
  <c r="B175" i="4"/>
  <c r="E175" i="4" s="1"/>
  <c r="E161" i="4"/>
  <c r="B104" i="4"/>
  <c r="G87" i="3"/>
  <c r="B38" i="4"/>
  <c r="N38" i="4" s="1"/>
  <c r="O38" i="4" s="1"/>
  <c r="A152" i="2" s="1"/>
  <c r="A156" i="2"/>
  <c r="A157" i="2"/>
  <c r="A151" i="2"/>
  <c r="A163" i="2"/>
  <c r="B31" i="4"/>
  <c r="B32" i="4"/>
  <c r="B27" i="4"/>
  <c r="N27" i="4" s="1"/>
  <c r="O27" i="4" s="1"/>
  <c r="A146" i="2" s="1"/>
  <c r="E24" i="4"/>
  <c r="B28" i="4"/>
  <c r="N28" i="4" s="1"/>
  <c r="O28" i="4" s="1"/>
  <c r="A147" i="2" s="1"/>
  <c r="B30" i="4"/>
  <c r="N30" i="4" s="1"/>
  <c r="O30" i="4" s="1"/>
  <c r="A149" i="2" s="1"/>
  <c r="G16" i="3"/>
  <c r="G28" i="3"/>
  <c r="B50" i="4"/>
  <c r="N50" i="4" s="1"/>
  <c r="O50" i="4" s="1"/>
  <c r="A159" i="2" s="1"/>
  <c r="B40" i="4"/>
  <c r="N40" i="4" s="1"/>
  <c r="O40" i="4" s="1"/>
  <c r="A154" i="2" s="1"/>
  <c r="B43" i="4"/>
  <c r="F34" i="4"/>
  <c r="B41" i="4"/>
  <c r="B16" i="4"/>
  <c r="N16" i="4" s="1"/>
  <c r="O16" i="4" s="1"/>
  <c r="A140" i="2" s="1"/>
  <c r="B17" i="4"/>
  <c r="E13" i="4"/>
  <c r="B18" i="4"/>
  <c r="N18" i="4" s="1"/>
  <c r="O18" i="4" s="1"/>
  <c r="A142" i="2" s="1"/>
  <c r="B21" i="4"/>
  <c r="D13" i="5"/>
  <c r="B54" i="4"/>
  <c r="B81" i="4"/>
  <c r="N81" i="4" s="1"/>
  <c r="O81" i="4" s="1"/>
  <c r="A175" i="2" s="1"/>
  <c r="B70" i="4"/>
  <c r="N70" i="4" s="1"/>
  <c r="O70" i="4" s="1"/>
  <c r="A169" i="2" s="1"/>
  <c r="E73" i="4"/>
  <c r="B116" i="4"/>
  <c r="E116" i="4" s="1"/>
  <c r="B138" i="4"/>
  <c r="E138" i="4" s="1"/>
  <c r="B88" i="4"/>
  <c r="F45" i="4"/>
  <c r="F169" i="4"/>
  <c r="B76" i="4"/>
  <c r="N76" i="4" s="1"/>
  <c r="O76" i="4" s="1"/>
  <c r="B99" i="4"/>
  <c r="B126" i="4"/>
  <c r="B148" i="4"/>
  <c r="B166" i="4"/>
  <c r="E166" i="4" s="1"/>
  <c r="B42" i="4"/>
  <c r="B23" i="6"/>
  <c r="G53" i="3"/>
  <c r="C107" i="2"/>
  <c r="B39" i="4"/>
  <c r="N39" i="4" s="1"/>
  <c r="O39" i="4" s="1"/>
  <c r="A153" i="2" s="1"/>
  <c r="B165" i="4"/>
  <c r="E165" i="4" s="1"/>
  <c r="B164" i="4"/>
  <c r="B21" i="6"/>
  <c r="B80" i="4"/>
  <c r="N80" i="4" s="1"/>
  <c r="O80" i="4" s="1"/>
  <c r="A174" i="2" s="1"/>
  <c r="B130" i="4"/>
  <c r="E130" i="4" s="1"/>
  <c r="G83" i="3"/>
  <c r="E35" i="4"/>
  <c r="C73" i="2"/>
  <c r="B29" i="4"/>
  <c r="B67" i="4"/>
  <c r="N67" i="4" s="1"/>
  <c r="O67" i="4" s="1"/>
  <c r="A166" i="2" s="1"/>
  <c r="B174" i="4"/>
  <c r="E174" i="4" s="1"/>
  <c r="B177" i="4"/>
  <c r="E177" i="4" s="1"/>
  <c r="G47" i="3"/>
  <c r="B184" i="4"/>
  <c r="E184" i="4" s="1"/>
  <c r="B51" i="4"/>
  <c r="N51" i="4" s="1"/>
  <c r="O51" i="4" s="1"/>
  <c r="A160" i="2" s="1"/>
  <c r="B53" i="4"/>
  <c r="E53" i="4" s="1"/>
  <c r="B185" i="4"/>
  <c r="E185" i="4" s="1"/>
  <c r="F179" i="4"/>
  <c r="C104" i="2"/>
  <c r="B49" i="4"/>
  <c r="N49" i="4" s="1"/>
  <c r="O49" i="4" s="1"/>
  <c r="A158" i="2" s="1"/>
  <c r="B183" i="4"/>
  <c r="E170" i="4"/>
  <c r="B52" i="4"/>
  <c r="N52" i="4" s="1"/>
  <c r="B79" i="4"/>
  <c r="N79" i="4" s="1"/>
  <c r="O79" i="4" s="1"/>
  <c r="A173" i="2" s="1"/>
  <c r="B102" i="4"/>
  <c r="N102" i="4" s="1"/>
  <c r="B129" i="4"/>
  <c r="E129" i="4" s="1"/>
  <c r="G77" i="3"/>
  <c r="G10" i="3"/>
  <c r="G92" i="3"/>
  <c r="E62" i="4"/>
  <c r="G71" i="3"/>
  <c r="G34" i="3"/>
  <c r="F8" i="4"/>
  <c r="B19" i="4"/>
  <c r="E19" i="4" s="1"/>
  <c r="F84" i="4"/>
  <c r="G22" i="3"/>
  <c r="B66" i="4"/>
  <c r="F107" i="4"/>
  <c r="B150" i="4"/>
  <c r="E150" i="4" s="1"/>
  <c r="B69" i="4"/>
  <c r="B151" i="4"/>
  <c r="E151" i="4" s="1"/>
  <c r="C90" i="2"/>
  <c r="C96" i="2"/>
  <c r="B89" i="4"/>
  <c r="B90" i="4"/>
  <c r="B19" i="6"/>
  <c r="B91" i="4"/>
  <c r="B92" i="4"/>
  <c r="H189" i="13" l="1"/>
  <c r="G21" i="4" a="1"/>
  <c r="G21" i="4" s="1"/>
  <c r="H18" i="4" a="1"/>
  <c r="H18" i="4" s="1"/>
  <c r="G19" i="4" a="1"/>
  <c r="G19" i="4" s="1"/>
  <c r="H16" i="4" a="1"/>
  <c r="H16" i="4" s="1"/>
  <c r="G16" i="4" a="1"/>
  <c r="G16" i="4" s="1"/>
  <c r="H19" i="4" a="1"/>
  <c r="H19" i="4" s="1"/>
  <c r="H17" i="4" a="1"/>
  <c r="H17" i="4" s="1"/>
  <c r="G17" i="4" a="1"/>
  <c r="G17" i="4" s="1"/>
  <c r="H21" i="4" a="1"/>
  <c r="H21" i="4" s="1"/>
  <c r="G20" i="4" a="1"/>
  <c r="G20" i="4" s="1"/>
  <c r="H20" i="4" a="1"/>
  <c r="H20" i="4" s="1"/>
  <c r="G18" i="4" a="1"/>
  <c r="G18" i="4" s="1"/>
  <c r="N184" i="4"/>
  <c r="O184" i="4" s="1"/>
  <c r="A223" i="2" s="1"/>
  <c r="N186" i="4"/>
  <c r="O186" i="4" s="1"/>
  <c r="A225" i="2" s="1"/>
  <c r="N177" i="4"/>
  <c r="O177" i="4" s="1"/>
  <c r="A221" i="2" s="1"/>
  <c r="N174" i="4"/>
  <c r="O174" i="4" s="1"/>
  <c r="A218" i="2" s="1"/>
  <c r="N176" i="4"/>
  <c r="O176" i="4" s="1"/>
  <c r="A220" i="2" s="1"/>
  <c r="N175" i="4"/>
  <c r="O175" i="4" s="1"/>
  <c r="A219" i="2" s="1"/>
  <c r="N173" i="4"/>
  <c r="H257" i="13"/>
  <c r="N165" i="4"/>
  <c r="O165" i="4" s="1"/>
  <c r="A214" i="2" s="1"/>
  <c r="N167" i="4"/>
  <c r="O167" i="4" s="1"/>
  <c r="A216" i="2" s="1"/>
  <c r="N166" i="4"/>
  <c r="O166" i="4" s="1"/>
  <c r="A215" i="2" s="1"/>
  <c r="N164" i="4"/>
  <c r="N153" i="4"/>
  <c r="N151" i="4"/>
  <c r="N149" i="4"/>
  <c r="O149" i="4" s="1"/>
  <c r="A208" i="2" s="1"/>
  <c r="H269" i="13" s="1"/>
  <c r="N152" i="4"/>
  <c r="H258" i="13"/>
  <c r="N148" i="4"/>
  <c r="O148" i="4" s="1"/>
  <c r="N142" i="4"/>
  <c r="O142" i="4" s="1"/>
  <c r="A206" i="2" s="1"/>
  <c r="N141" i="4"/>
  <c r="O141" i="4" s="1"/>
  <c r="A205" i="2" s="1"/>
  <c r="N140" i="4"/>
  <c r="O140" i="4" s="1"/>
  <c r="A204" i="2" s="1"/>
  <c r="H264" i="14" s="1"/>
  <c r="N139" i="4"/>
  <c r="O139" i="4" s="1"/>
  <c r="A203" i="2" s="1"/>
  <c r="N138" i="4"/>
  <c r="O138" i="4" s="1"/>
  <c r="N137" i="4"/>
  <c r="N131" i="4"/>
  <c r="N127" i="4"/>
  <c r="O127" i="4" s="1"/>
  <c r="A196" i="2" s="1"/>
  <c r="N130" i="4"/>
  <c r="N129" i="4"/>
  <c r="N128" i="4"/>
  <c r="O128" i="4" s="1"/>
  <c r="A197" i="2" s="1"/>
  <c r="H272" i="13"/>
  <c r="N126" i="4"/>
  <c r="H273" i="13"/>
  <c r="H251" i="13"/>
  <c r="H251" i="14"/>
  <c r="N120" i="4"/>
  <c r="O120" i="4" s="1"/>
  <c r="A194" i="2" s="1"/>
  <c r="H252" i="14" s="1"/>
  <c r="N117" i="4"/>
  <c r="O117" i="4" s="1"/>
  <c r="A191" i="2" s="1"/>
  <c r="H271" i="14"/>
  <c r="N116" i="4"/>
  <c r="O116" i="4" s="1"/>
  <c r="A190" i="2" s="1"/>
  <c r="N118" i="4"/>
  <c r="O118" i="4" s="1"/>
  <c r="A192" i="2" s="1"/>
  <c r="H259" i="13"/>
  <c r="H235" i="14"/>
  <c r="N115" i="4"/>
  <c r="E104" i="4"/>
  <c r="N104" i="4" s="1"/>
  <c r="H242" i="13"/>
  <c r="N99" i="4"/>
  <c r="CR20" i="16"/>
  <c r="CP21" i="16"/>
  <c r="CL20" i="16"/>
  <c r="CJ21" i="16"/>
  <c r="CD20" i="16"/>
  <c r="CF19" i="16"/>
  <c r="BX20" i="16"/>
  <c r="BZ19" i="16"/>
  <c r="BR20" i="16"/>
  <c r="BT19" i="16"/>
  <c r="BL19" i="16"/>
  <c r="BN18" i="16"/>
  <c r="BH20" i="16"/>
  <c r="BF21" i="16"/>
  <c r="AZ20" i="16"/>
  <c r="BB19" i="16"/>
  <c r="E93" i="4"/>
  <c r="N93" i="4" s="1"/>
  <c r="N88" i="4"/>
  <c r="O88" i="4" s="1"/>
  <c r="A177" i="2" s="1"/>
  <c r="AV20" i="16"/>
  <c r="AT21" i="16"/>
  <c r="E41" i="4"/>
  <c r="N41" i="4" s="1"/>
  <c r="O41" i="4" s="1"/>
  <c r="E31" i="4"/>
  <c r="N31" i="4" s="1"/>
  <c r="O31" i="4" s="1"/>
  <c r="A150" i="2" s="1"/>
  <c r="AN20" i="16"/>
  <c r="AP19" i="16"/>
  <c r="E54" i="4"/>
  <c r="N54" i="4" s="1"/>
  <c r="E43" i="4"/>
  <c r="N43" i="4" s="1"/>
  <c r="E42" i="4"/>
  <c r="N42" i="4" s="1"/>
  <c r="E32" i="4"/>
  <c r="N32" i="4" s="1"/>
  <c r="E21" i="4"/>
  <c r="N21" i="4" s="1"/>
  <c r="E20" i="4"/>
  <c r="N20" i="4" s="1"/>
  <c r="AJ19" i="16"/>
  <c r="AH20" i="16"/>
  <c r="AB22" i="16"/>
  <c r="AD21" i="16"/>
  <c r="V22" i="16"/>
  <c r="X22" i="16" s="1"/>
  <c r="H188" i="13"/>
  <c r="P109" i="16"/>
  <c r="R109" i="16" s="1"/>
  <c r="P22" i="16"/>
  <c r="R22" i="16" s="1"/>
  <c r="P139" i="16"/>
  <c r="R139" i="16" s="1"/>
  <c r="P88" i="16"/>
  <c r="R88" i="16" s="1"/>
  <c r="P49" i="16"/>
  <c r="R49" i="16" s="1"/>
  <c r="H189" i="14"/>
  <c r="F94" i="16"/>
  <c r="D95" i="16"/>
  <c r="D19" i="16"/>
  <c r="F18" i="16"/>
  <c r="H228" i="13"/>
  <c r="O78" i="4"/>
  <c r="A172" i="2" s="1"/>
  <c r="H224" i="14" s="1"/>
  <c r="O65" i="4"/>
  <c r="A164" i="2" s="1"/>
  <c r="O115" i="4"/>
  <c r="A189" i="2" s="1"/>
  <c r="H239" i="13"/>
  <c r="H194" i="13"/>
  <c r="H194" i="14"/>
  <c r="H238" i="13"/>
  <c r="H198" i="13"/>
  <c r="H198" i="14"/>
  <c r="H186" i="13"/>
  <c r="H186" i="14"/>
  <c r="H192" i="13"/>
  <c r="H192" i="14"/>
  <c r="H206" i="13"/>
  <c r="H206" i="14"/>
  <c r="H207" i="13"/>
  <c r="H207" i="14"/>
  <c r="H210" i="13"/>
  <c r="H210" i="14"/>
  <c r="H227" i="13"/>
  <c r="H227" i="14"/>
  <c r="H226" i="13"/>
  <c r="H226" i="14"/>
  <c r="H191" i="13"/>
  <c r="H191" i="14"/>
  <c r="H199" i="13"/>
  <c r="H199" i="14"/>
  <c r="H184" i="13"/>
  <c r="H184" i="14"/>
  <c r="H196" i="13"/>
  <c r="H196" i="14"/>
  <c r="C12" i="9"/>
  <c r="H225" i="13"/>
  <c r="H225" i="14"/>
  <c r="H217" i="13"/>
  <c r="H217" i="14"/>
  <c r="H203" i="13"/>
  <c r="H203" i="14"/>
  <c r="H218" i="13"/>
  <c r="H218" i="14"/>
  <c r="H241" i="13"/>
  <c r="H241" i="14"/>
  <c r="H202" i="13"/>
  <c r="H202" i="14"/>
  <c r="H205" i="13"/>
  <c r="H205" i="14"/>
  <c r="H220" i="13"/>
  <c r="H220" i="14"/>
  <c r="H200" i="13"/>
  <c r="H200" i="14"/>
  <c r="N19" i="4"/>
  <c r="O19" i="4" s="1"/>
  <c r="A143" i="2" s="1"/>
  <c r="N17" i="4"/>
  <c r="O17" i="4" s="1"/>
  <c r="C11" i="9"/>
  <c r="N183" i="4"/>
  <c r="O183" i="4" s="1"/>
  <c r="A222" i="2" s="1"/>
  <c r="F156" i="4"/>
  <c r="N29" i="4"/>
  <c r="N185" i="4"/>
  <c r="O185" i="4" s="1"/>
  <c r="N53" i="4"/>
  <c r="N92" i="4"/>
  <c r="O92" i="4" s="1"/>
  <c r="A181" i="2" s="1"/>
  <c r="N73" i="4"/>
  <c r="O102" i="4"/>
  <c r="N69" i="4"/>
  <c r="O69" i="4" s="1"/>
  <c r="A168" i="2" s="1"/>
  <c r="N91" i="4"/>
  <c r="O91" i="4" s="1"/>
  <c r="A180" i="2" s="1"/>
  <c r="N66" i="4"/>
  <c r="O66" i="4" s="1"/>
  <c r="A207" i="2"/>
  <c r="O52" i="4"/>
  <c r="N89" i="4"/>
  <c r="O89" i="4" s="1"/>
  <c r="A178" i="2" s="1"/>
  <c r="N90" i="4"/>
  <c r="O90" i="4" s="1"/>
  <c r="A179" i="2" s="1"/>
  <c r="A170" i="2"/>
  <c r="N150" i="4"/>
  <c r="O150" i="4" s="1"/>
  <c r="A209" i="2" s="1"/>
  <c r="H294" i="14" l="1"/>
  <c r="H294" i="13"/>
  <c r="H292" i="13"/>
  <c r="H292" i="14"/>
  <c r="H287" i="14"/>
  <c r="H287" i="13"/>
  <c r="H289" i="13"/>
  <c r="H289" i="14"/>
  <c r="H288" i="13"/>
  <c r="H288" i="14"/>
  <c r="O173" i="4"/>
  <c r="N170" i="4"/>
  <c r="E56" i="6" s="1"/>
  <c r="F57" i="6" s="1"/>
  <c r="H283" i="13"/>
  <c r="H283" i="14"/>
  <c r="H281" i="13"/>
  <c r="H281" i="14"/>
  <c r="H269" i="14"/>
  <c r="O164" i="4"/>
  <c r="N161" i="4"/>
  <c r="E54" i="6" s="1"/>
  <c r="H264" i="13"/>
  <c r="H265" i="14"/>
  <c r="H265" i="13"/>
  <c r="H263" i="14"/>
  <c r="H263" i="13"/>
  <c r="H266" i="14"/>
  <c r="H266" i="13"/>
  <c r="O137" i="4"/>
  <c r="A201" i="2" s="1"/>
  <c r="N134" i="4"/>
  <c r="E50" i="6" s="1"/>
  <c r="F51" i="6" s="1"/>
  <c r="H256" i="13"/>
  <c r="H256" i="14"/>
  <c r="H255" i="14"/>
  <c r="H255" i="13"/>
  <c r="O126" i="4"/>
  <c r="N123" i="4"/>
  <c r="E48" i="6" s="1"/>
  <c r="F48" i="6" s="1"/>
  <c r="F27" i="15" s="1"/>
  <c r="H249" i="13"/>
  <c r="H249" i="14"/>
  <c r="H250" i="14"/>
  <c r="H250" i="13"/>
  <c r="H248" i="13"/>
  <c r="H248" i="14"/>
  <c r="N112" i="4"/>
  <c r="E46" i="6" s="1"/>
  <c r="F47" i="6" s="1"/>
  <c r="T46" i="6"/>
  <c r="K46" i="6" s="1"/>
  <c r="Q46" i="6"/>
  <c r="P46" i="6"/>
  <c r="G46" i="6" s="1"/>
  <c r="J103" i="14" s="1"/>
  <c r="U46" i="6"/>
  <c r="L46" i="6" s="1"/>
  <c r="R46" i="6"/>
  <c r="I46" i="6" s="1"/>
  <c r="S46" i="6"/>
  <c r="J46" i="6" s="1"/>
  <c r="V46" i="6"/>
  <c r="M46" i="6" s="1"/>
  <c r="O99" i="4"/>
  <c r="A183" i="2" s="1"/>
  <c r="N96" i="4"/>
  <c r="E44" i="6" s="1"/>
  <c r="F45" i="6" s="1"/>
  <c r="CP22" i="16"/>
  <c r="CR21" i="16"/>
  <c r="CJ22" i="16"/>
  <c r="CL21" i="16"/>
  <c r="CF20" i="16"/>
  <c r="CD21" i="16"/>
  <c r="BZ20" i="16"/>
  <c r="BX21" i="16"/>
  <c r="BT20" i="16"/>
  <c r="BR21" i="16"/>
  <c r="BN19" i="16"/>
  <c r="BL20" i="16"/>
  <c r="BF22" i="16"/>
  <c r="BH21" i="16"/>
  <c r="BB20" i="16"/>
  <c r="AZ21" i="16"/>
  <c r="AV21" i="16"/>
  <c r="AT22" i="16"/>
  <c r="N46" i="4"/>
  <c r="A155" i="2"/>
  <c r="T34" i="6"/>
  <c r="K34" i="6" s="1"/>
  <c r="S34" i="6"/>
  <c r="J34" i="6" s="1"/>
  <c r="Q34" i="6"/>
  <c r="H34" i="6" s="1"/>
  <c r="U34" i="6"/>
  <c r="L34" i="6" s="1"/>
  <c r="V34" i="6"/>
  <c r="M34" i="6" s="1"/>
  <c r="R34" i="6"/>
  <c r="I34" i="6" s="1"/>
  <c r="P34" i="6"/>
  <c r="G34" i="6" s="1"/>
  <c r="J91" i="13" s="1"/>
  <c r="H195" i="13"/>
  <c r="H195" i="14"/>
  <c r="AP20" i="16"/>
  <c r="AN21" i="16"/>
  <c r="N35" i="4"/>
  <c r="E34" i="6" s="1"/>
  <c r="F35" i="6" s="1"/>
  <c r="AH21" i="16"/>
  <c r="AJ20" i="16"/>
  <c r="AD22" i="16"/>
  <c r="AB23" i="16"/>
  <c r="V23" i="16"/>
  <c r="X23" i="16" s="1"/>
  <c r="P50" i="16"/>
  <c r="R50" i="16" s="1"/>
  <c r="P140" i="16"/>
  <c r="R140" i="16" s="1"/>
  <c r="P23" i="16"/>
  <c r="R23" i="16" s="1"/>
  <c r="P89" i="16"/>
  <c r="R89" i="16" s="1"/>
  <c r="P110" i="16"/>
  <c r="R110" i="16" s="1"/>
  <c r="R40" i="6"/>
  <c r="I40" i="6" s="1"/>
  <c r="T40" i="6"/>
  <c r="K40" i="6" s="1"/>
  <c r="S40" i="6"/>
  <c r="J40" i="6" s="1"/>
  <c r="P40" i="6"/>
  <c r="G40" i="6" s="1"/>
  <c r="J97" i="14" s="1"/>
  <c r="Q40" i="6"/>
  <c r="H40" i="6" s="1"/>
  <c r="U40" i="6"/>
  <c r="L40" i="6" s="1"/>
  <c r="V40" i="6"/>
  <c r="M40" i="6" s="1"/>
  <c r="F95" i="16"/>
  <c r="D96" i="16"/>
  <c r="D20" i="16"/>
  <c r="F19" i="16"/>
  <c r="H224" i="13"/>
  <c r="H187" i="13"/>
  <c r="H187" i="14"/>
  <c r="A141" i="2"/>
  <c r="V30" i="6"/>
  <c r="M30" i="6" s="1"/>
  <c r="U30" i="6"/>
  <c r="L30" i="6" s="1"/>
  <c r="Q30" i="6"/>
  <c r="H30" i="6" s="1"/>
  <c r="T30" i="6"/>
  <c r="K30" i="6" s="1"/>
  <c r="P30" i="6"/>
  <c r="G30" i="6" s="1"/>
  <c r="J87" i="14" s="1"/>
  <c r="S30" i="6"/>
  <c r="J30" i="6" s="1"/>
  <c r="R30" i="6"/>
  <c r="I30" i="6" s="1"/>
  <c r="H252" i="13"/>
  <c r="C13" i="9"/>
  <c r="H270" i="13"/>
  <c r="H270" i="14"/>
  <c r="H232" i="13"/>
  <c r="H232" i="14"/>
  <c r="H234" i="13"/>
  <c r="H234" i="14"/>
  <c r="H282" i="13"/>
  <c r="H282" i="14"/>
  <c r="H231" i="13"/>
  <c r="H231" i="14"/>
  <c r="H222" i="13"/>
  <c r="H222" i="14"/>
  <c r="H215" i="13"/>
  <c r="H215" i="14"/>
  <c r="H230" i="13"/>
  <c r="H230" i="14"/>
  <c r="H247" i="13"/>
  <c r="H247" i="14"/>
  <c r="H286" i="13"/>
  <c r="H286" i="14"/>
  <c r="H268" i="13"/>
  <c r="H268" i="14"/>
  <c r="H291" i="13"/>
  <c r="H291" i="14"/>
  <c r="H233" i="13"/>
  <c r="H233" i="14"/>
  <c r="H219" i="13"/>
  <c r="H219" i="14"/>
  <c r="A202" i="2"/>
  <c r="S50" i="6"/>
  <c r="J50" i="6" s="1"/>
  <c r="Q50" i="6"/>
  <c r="U50" i="6"/>
  <c r="L50" i="6" s="1"/>
  <c r="T50" i="6"/>
  <c r="K50" i="6" s="1"/>
  <c r="V50" i="6"/>
  <c r="M50" i="6" s="1"/>
  <c r="R50" i="6"/>
  <c r="I50" i="6" s="1"/>
  <c r="P50" i="6"/>
  <c r="G50" i="6" s="1"/>
  <c r="J107" i="14" s="1"/>
  <c r="C34" i="9"/>
  <c r="N13" i="4"/>
  <c r="E30" i="6" s="1"/>
  <c r="D50" i="6"/>
  <c r="N24" i="4"/>
  <c r="E32" i="6" s="1"/>
  <c r="F32" i="6" s="1"/>
  <c r="F15" i="15" s="1"/>
  <c r="O29" i="4"/>
  <c r="N9" i="4"/>
  <c r="D22" i="9" s="1"/>
  <c r="N10" i="4"/>
  <c r="F50" i="6"/>
  <c r="F28" i="15" s="1"/>
  <c r="N85" i="4"/>
  <c r="E42" i="6" s="1"/>
  <c r="R52" i="6"/>
  <c r="I52" i="6" s="1"/>
  <c r="C25" i="9"/>
  <c r="E36" i="6"/>
  <c r="F37" i="6" s="1"/>
  <c r="A224" i="2"/>
  <c r="V58" i="6"/>
  <c r="M58" i="6" s="1"/>
  <c r="Q58" i="6"/>
  <c r="S52" i="6"/>
  <c r="J52" i="6" s="1"/>
  <c r="V52" i="6"/>
  <c r="M52" i="6" s="1"/>
  <c r="U58" i="6"/>
  <c r="S58" i="6"/>
  <c r="J58" i="6" s="1"/>
  <c r="N157" i="4"/>
  <c r="N158" i="4"/>
  <c r="P58" i="6"/>
  <c r="G58" i="6" s="1"/>
  <c r="J115" i="14" s="1"/>
  <c r="T58" i="6"/>
  <c r="R58" i="6"/>
  <c r="P52" i="6"/>
  <c r="G52" i="6" s="1"/>
  <c r="J109" i="14" s="1"/>
  <c r="O53" i="4"/>
  <c r="A162" i="2" s="1"/>
  <c r="N180" i="4"/>
  <c r="A165" i="2"/>
  <c r="T38" i="6"/>
  <c r="U38" i="6"/>
  <c r="V38" i="6"/>
  <c r="P38" i="6"/>
  <c r="Q38" i="6"/>
  <c r="R38" i="6"/>
  <c r="S38" i="6"/>
  <c r="F55" i="6"/>
  <c r="D54" i="6"/>
  <c r="F54" i="6"/>
  <c r="F32" i="15" s="1"/>
  <c r="D56" i="6"/>
  <c r="U42" i="6"/>
  <c r="L42" i="6" s="1"/>
  <c r="R42" i="6"/>
  <c r="I42" i="6" s="1"/>
  <c r="A161" i="2"/>
  <c r="P42" i="6"/>
  <c r="G42" i="6" s="1"/>
  <c r="J99" i="14" s="1"/>
  <c r="Q42" i="6"/>
  <c r="T52" i="6"/>
  <c r="K52" i="6" s="1"/>
  <c r="A186" i="2"/>
  <c r="R44" i="6"/>
  <c r="I44" i="6" s="1"/>
  <c r="P44" i="6"/>
  <c r="G44" i="6" s="1"/>
  <c r="J101" i="14" s="1"/>
  <c r="U44" i="6"/>
  <c r="L44" i="6" s="1"/>
  <c r="T44" i="6"/>
  <c r="K44" i="6" s="1"/>
  <c r="S44" i="6"/>
  <c r="J44" i="6" s="1"/>
  <c r="N109" i="4"/>
  <c r="N108" i="4"/>
  <c r="F49" i="6"/>
  <c r="D48" i="6"/>
  <c r="Q52" i="6"/>
  <c r="E40" i="6"/>
  <c r="C27" i="9"/>
  <c r="N58" i="4"/>
  <c r="N59" i="4"/>
  <c r="U52" i="6"/>
  <c r="L52" i="6" s="1"/>
  <c r="N62" i="4"/>
  <c r="S42" i="6"/>
  <c r="J42" i="6" s="1"/>
  <c r="N145" i="4"/>
  <c r="V42" i="6"/>
  <c r="M42" i="6" s="1"/>
  <c r="T42" i="6"/>
  <c r="K42" i="6" s="1"/>
  <c r="F34" i="6" l="1"/>
  <c r="F16" i="15" s="1"/>
  <c r="J91" i="14"/>
  <c r="C35" i="9"/>
  <c r="J91" i="5"/>
  <c r="T36" i="6"/>
  <c r="K36" i="6" s="1"/>
  <c r="F56" i="6"/>
  <c r="F33" i="15" s="1"/>
  <c r="V44" i="6"/>
  <c r="M44" i="6" s="1"/>
  <c r="D44" i="6"/>
  <c r="F44" i="6"/>
  <c r="F23" i="15" s="1"/>
  <c r="G23" i="15" s="1"/>
  <c r="Q21" i="15" s="1"/>
  <c r="C29" i="9"/>
  <c r="Q44" i="6"/>
  <c r="Q21" i="6" s="1"/>
  <c r="N34" i="6"/>
  <c r="F91" i="14" s="1"/>
  <c r="D34" i="6"/>
  <c r="C24" i="9"/>
  <c r="A217" i="2"/>
  <c r="Q56" i="6"/>
  <c r="U56" i="6"/>
  <c r="L56" i="6" s="1"/>
  <c r="R56" i="6"/>
  <c r="I56" i="6" s="1"/>
  <c r="V56" i="6"/>
  <c r="M56" i="6" s="1"/>
  <c r="P56" i="6"/>
  <c r="G56" i="6" s="1"/>
  <c r="T56" i="6"/>
  <c r="K56" i="6" s="1"/>
  <c r="S56" i="6"/>
  <c r="J56" i="6" s="1"/>
  <c r="A213" i="2"/>
  <c r="R54" i="6"/>
  <c r="I54" i="6" s="1"/>
  <c r="U54" i="6"/>
  <c r="L54" i="6" s="1"/>
  <c r="P54" i="6"/>
  <c r="G54" i="6" s="1"/>
  <c r="Q54" i="6"/>
  <c r="S54" i="6"/>
  <c r="J54" i="6" s="1"/>
  <c r="T54" i="6"/>
  <c r="K54" i="6" s="1"/>
  <c r="V54" i="6"/>
  <c r="M54" i="6" s="1"/>
  <c r="C32" i="9"/>
  <c r="H261" i="14"/>
  <c r="H261" i="13"/>
  <c r="C31" i="9"/>
  <c r="Q48" i="6"/>
  <c r="Q23" i="6" s="1"/>
  <c r="V48" i="6"/>
  <c r="M48" i="6" s="1"/>
  <c r="T48" i="6"/>
  <c r="K48" i="6" s="1"/>
  <c r="P48" i="6"/>
  <c r="G48" i="6" s="1"/>
  <c r="U48" i="6"/>
  <c r="L48" i="6" s="1"/>
  <c r="S48" i="6"/>
  <c r="J48" i="6" s="1"/>
  <c r="R48" i="6"/>
  <c r="I48" i="6" s="1"/>
  <c r="A195" i="2"/>
  <c r="D46" i="6"/>
  <c r="N46" i="6"/>
  <c r="F103" i="13" s="1"/>
  <c r="C30" i="9"/>
  <c r="F46" i="6"/>
  <c r="F26" i="15" s="1"/>
  <c r="B287" i="2" s="1"/>
  <c r="H46" i="6"/>
  <c r="H237" i="13"/>
  <c r="H237" i="14"/>
  <c r="CP23" i="16"/>
  <c r="CR22" i="16"/>
  <c r="CJ23" i="16"/>
  <c r="CL22" i="16"/>
  <c r="CD22" i="16"/>
  <c r="CF21" i="16"/>
  <c r="BX22" i="16"/>
  <c r="BZ21" i="16"/>
  <c r="BR22" i="16"/>
  <c r="BT21" i="16"/>
  <c r="BN20" i="16"/>
  <c r="BL21" i="16"/>
  <c r="BH22" i="16"/>
  <c r="BF23" i="16"/>
  <c r="AZ22" i="16"/>
  <c r="BB21" i="16"/>
  <c r="AV22" i="16"/>
  <c r="AT23" i="16"/>
  <c r="J97" i="13"/>
  <c r="J97" i="5"/>
  <c r="H201" i="13"/>
  <c r="H201" i="14"/>
  <c r="AN22" i="16"/>
  <c r="AP21" i="16"/>
  <c r="AH22" i="16"/>
  <c r="AJ21" i="16"/>
  <c r="AB24" i="16"/>
  <c r="AD23" i="16"/>
  <c r="V24" i="16"/>
  <c r="X24" i="16" s="1"/>
  <c r="N40" i="6"/>
  <c r="F97" i="14" s="1"/>
  <c r="P111" i="16"/>
  <c r="R111" i="16" s="1"/>
  <c r="P90" i="16"/>
  <c r="R90" i="16" s="1"/>
  <c r="P24" i="16"/>
  <c r="R24" i="16" s="1"/>
  <c r="P141" i="16"/>
  <c r="R141" i="16" s="1"/>
  <c r="P51" i="16"/>
  <c r="R51" i="16" s="1"/>
  <c r="N30" i="6"/>
  <c r="F87" i="5" s="1"/>
  <c r="F96" i="16"/>
  <c r="D97" i="16"/>
  <c r="D21" i="16"/>
  <c r="F20" i="16"/>
  <c r="H185" i="14"/>
  <c r="H185" i="13"/>
  <c r="G16" i="15"/>
  <c r="Q16" i="15" s="1"/>
  <c r="B251" i="2"/>
  <c r="G27" i="15"/>
  <c r="Q23" i="15" s="1"/>
  <c r="B293" i="2"/>
  <c r="G32" i="15"/>
  <c r="Q26" i="15" s="1"/>
  <c r="B311" i="2"/>
  <c r="G28" i="15"/>
  <c r="Q24" i="15" s="1"/>
  <c r="B299" i="2"/>
  <c r="G15" i="15"/>
  <c r="Q15" i="15" s="1"/>
  <c r="B245" i="2"/>
  <c r="G33" i="15"/>
  <c r="Q27" i="15" s="1"/>
  <c r="B317" i="2"/>
  <c r="B281" i="2"/>
  <c r="H209" i="13"/>
  <c r="H209" i="14"/>
  <c r="H208" i="13"/>
  <c r="H208" i="14"/>
  <c r="H293" i="13"/>
  <c r="H293" i="14"/>
  <c r="H240" i="13"/>
  <c r="H240" i="14"/>
  <c r="H262" i="13"/>
  <c r="H262" i="14"/>
  <c r="H216" i="13"/>
  <c r="H216" i="14"/>
  <c r="J107" i="5"/>
  <c r="J107" i="13"/>
  <c r="H50" i="6"/>
  <c r="N50" i="6"/>
  <c r="F107" i="14" s="1"/>
  <c r="Q36" i="6"/>
  <c r="H36" i="6" s="1"/>
  <c r="C22" i="9"/>
  <c r="H58" i="6"/>
  <c r="F36" i="6"/>
  <c r="F17" i="15" s="1"/>
  <c r="D36" i="6"/>
  <c r="C23" i="9"/>
  <c r="V36" i="6"/>
  <c r="M36" i="6" s="1"/>
  <c r="P36" i="6"/>
  <c r="G36" i="6" s="1"/>
  <c r="C28" i="9"/>
  <c r="J99" i="13"/>
  <c r="J99" i="5"/>
  <c r="J115" i="5"/>
  <c r="J115" i="13"/>
  <c r="J87" i="5"/>
  <c r="J87" i="13"/>
  <c r="J101" i="13"/>
  <c r="J101" i="5"/>
  <c r="J109" i="5"/>
  <c r="J109" i="13"/>
  <c r="J103" i="5"/>
  <c r="J103" i="13"/>
  <c r="A148" i="2"/>
  <c r="S32" i="6"/>
  <c r="J32" i="6" s="1"/>
  <c r="Q32" i="6"/>
  <c r="P32" i="6"/>
  <c r="G32" i="6" s="1"/>
  <c r="J89" i="14" s="1"/>
  <c r="R32" i="6"/>
  <c r="I32" i="6" s="1"/>
  <c r="T32" i="6"/>
  <c r="K32" i="6" s="1"/>
  <c r="V32" i="6"/>
  <c r="M32" i="6" s="1"/>
  <c r="U32" i="6"/>
  <c r="L32" i="6" s="1"/>
  <c r="D24" i="9"/>
  <c r="E19" i="6"/>
  <c r="D19" i="6" s="1"/>
  <c r="D25" i="9"/>
  <c r="D23" i="9"/>
  <c r="C44" i="9"/>
  <c r="U36" i="6"/>
  <c r="L36" i="6" s="1"/>
  <c r="N58" i="6"/>
  <c r="F115" i="14" s="1"/>
  <c r="S36" i="6"/>
  <c r="N7" i="4"/>
  <c r="N6" i="4" s="1"/>
  <c r="L5" i="4" s="1"/>
  <c r="R36" i="6"/>
  <c r="I36" i="6" s="1"/>
  <c r="E25" i="6"/>
  <c r="C47" i="9"/>
  <c r="D36" i="9"/>
  <c r="D35" i="9"/>
  <c r="D34" i="9"/>
  <c r="L58" i="6"/>
  <c r="C36" i="9"/>
  <c r="E58" i="6"/>
  <c r="I58" i="6"/>
  <c r="K58" i="6"/>
  <c r="F33" i="6"/>
  <c r="D32" i="6"/>
  <c r="D40" i="6"/>
  <c r="F40" i="6"/>
  <c r="F21" i="15" s="1"/>
  <c r="F41" i="6"/>
  <c r="F43" i="6"/>
  <c r="D42" i="6"/>
  <c r="F42" i="6"/>
  <c r="F22" i="15" s="1"/>
  <c r="N52" i="6"/>
  <c r="F109" i="14" s="1"/>
  <c r="H52" i="6"/>
  <c r="E52" i="6"/>
  <c r="C33" i="9"/>
  <c r="E38" i="6"/>
  <c r="C26" i="9"/>
  <c r="J38" i="6"/>
  <c r="S21" i="6"/>
  <c r="J21" i="6" s="1"/>
  <c r="R21" i="6"/>
  <c r="I21" i="6" s="1"/>
  <c r="I38" i="6"/>
  <c r="C46" i="9"/>
  <c r="D30" i="9"/>
  <c r="D31" i="9"/>
  <c r="D32" i="9"/>
  <c r="E23" i="6"/>
  <c r="D33" i="9"/>
  <c r="H38" i="6"/>
  <c r="N38" i="6"/>
  <c r="D27" i="9"/>
  <c r="E21" i="6"/>
  <c r="D28" i="9"/>
  <c r="C45" i="9"/>
  <c r="D29" i="9"/>
  <c r="D26" i="9"/>
  <c r="G38" i="6"/>
  <c r="J95" i="14" s="1"/>
  <c r="P21" i="6"/>
  <c r="G21" i="6" s="1"/>
  <c r="J79" i="14" s="1"/>
  <c r="V21" i="6"/>
  <c r="M21" i="6" s="1"/>
  <c r="M38" i="6"/>
  <c r="U21" i="6"/>
  <c r="L21" i="6" s="1"/>
  <c r="L38" i="6"/>
  <c r="N42" i="6"/>
  <c r="F99" i="14" s="1"/>
  <c r="H42" i="6"/>
  <c r="K38" i="6"/>
  <c r="T21" i="6"/>
  <c r="K21" i="6" s="1"/>
  <c r="F30" i="6"/>
  <c r="F14" i="15" s="1"/>
  <c r="F31" i="6"/>
  <c r="D30" i="6"/>
  <c r="G26" i="15" l="1"/>
  <c r="Q22" i="15" s="1"/>
  <c r="F91" i="13"/>
  <c r="N44" i="6"/>
  <c r="F101" i="14" s="1"/>
  <c r="H44" i="6"/>
  <c r="F91" i="5"/>
  <c r="R25" i="6"/>
  <c r="I25" i="6" s="1"/>
  <c r="R23" i="6"/>
  <c r="I23" i="6" s="1"/>
  <c r="F103" i="5"/>
  <c r="F103" i="14"/>
  <c r="S25" i="6"/>
  <c r="J25" i="6" s="1"/>
  <c r="S23" i="6"/>
  <c r="J23" i="6" s="1"/>
  <c r="T25" i="6"/>
  <c r="K25" i="6" s="1"/>
  <c r="Q25" i="6"/>
  <c r="H25" i="6" s="1"/>
  <c r="J113" i="14"/>
  <c r="J113" i="5"/>
  <c r="J113" i="13"/>
  <c r="H56" i="6"/>
  <c r="N56" i="6"/>
  <c r="H285" i="13"/>
  <c r="H285" i="14"/>
  <c r="P25" i="6"/>
  <c r="G25" i="6" s="1"/>
  <c r="J83" i="14" s="1"/>
  <c r="V25" i="6"/>
  <c r="M25" i="6" s="1"/>
  <c r="U25" i="6"/>
  <c r="L25" i="6" s="1"/>
  <c r="H54" i="6"/>
  <c r="N54" i="6"/>
  <c r="J111" i="14"/>
  <c r="J111" i="13"/>
  <c r="J111" i="5"/>
  <c r="H280" i="13"/>
  <c r="H280" i="14"/>
  <c r="T23" i="6"/>
  <c r="K23" i="6" s="1"/>
  <c r="P23" i="6"/>
  <c r="G23" i="6" s="1"/>
  <c r="J81" i="13" s="1"/>
  <c r="H254" i="13"/>
  <c r="H254" i="14"/>
  <c r="U23" i="6"/>
  <c r="L23" i="6" s="1"/>
  <c r="V23" i="6"/>
  <c r="M23" i="6" s="1"/>
  <c r="J105" i="13"/>
  <c r="J105" i="5"/>
  <c r="J105" i="14"/>
  <c r="H48" i="6"/>
  <c r="N48" i="6"/>
  <c r="CR23" i="16"/>
  <c r="CP24" i="16"/>
  <c r="CL23" i="16"/>
  <c r="CJ24" i="16"/>
  <c r="CD23" i="16"/>
  <c r="CF22" i="16"/>
  <c r="BX23" i="16"/>
  <c r="BZ22" i="16"/>
  <c r="BR23" i="16"/>
  <c r="BT22" i="16"/>
  <c r="BL22" i="16"/>
  <c r="BN21" i="16"/>
  <c r="BH23" i="16"/>
  <c r="BF24" i="16"/>
  <c r="AZ23" i="16"/>
  <c r="BB22" i="16"/>
  <c r="AV23" i="16"/>
  <c r="AT24" i="16"/>
  <c r="F97" i="13"/>
  <c r="F97" i="5"/>
  <c r="AN23" i="16"/>
  <c r="AP22" i="16"/>
  <c r="AJ22" i="16"/>
  <c r="AH23" i="16"/>
  <c r="AB25" i="16"/>
  <c r="AD24" i="16"/>
  <c r="V25" i="16"/>
  <c r="X25" i="16" s="1"/>
  <c r="P91" i="16"/>
  <c r="R91" i="16" s="1"/>
  <c r="P112" i="16"/>
  <c r="R112" i="16" s="1"/>
  <c r="P25" i="16"/>
  <c r="R25" i="16" s="1"/>
  <c r="P52" i="16"/>
  <c r="R52" i="16" s="1"/>
  <c r="P142" i="16"/>
  <c r="R142" i="16" s="1"/>
  <c r="F87" i="14"/>
  <c r="F87" i="13"/>
  <c r="F97" i="16"/>
  <c r="D98" i="16"/>
  <c r="D22" i="16"/>
  <c r="F21" i="16"/>
  <c r="A282" i="2" a="1"/>
  <c r="A282" i="2" s="1"/>
  <c r="A318" i="2" a="1"/>
  <c r="A318" i="2" s="1"/>
  <c r="A246" i="2" a="1"/>
  <c r="A246" i="2" s="1"/>
  <c r="A300" i="2" a="1"/>
  <c r="A300" i="2" s="1"/>
  <c r="A312" i="2" a="1"/>
  <c r="A312" i="2" s="1"/>
  <c r="A288" i="2" a="1"/>
  <c r="A288" i="2" s="1"/>
  <c r="A252" i="2" a="1"/>
  <c r="A252" i="2" s="1"/>
  <c r="A294" i="2" a="1"/>
  <c r="A294" i="2" s="1"/>
  <c r="J15" i="15"/>
  <c r="K15" i="15"/>
  <c r="L15" i="15"/>
  <c r="M15" i="15"/>
  <c r="N15" i="15"/>
  <c r="G22" i="15"/>
  <c r="Q20" i="15" s="1"/>
  <c r="B275" i="2"/>
  <c r="L26" i="15"/>
  <c r="M26" i="15"/>
  <c r="J26" i="15"/>
  <c r="N26" i="15"/>
  <c r="K26" i="15"/>
  <c r="N33" i="15"/>
  <c r="M33" i="15"/>
  <c r="J33" i="15"/>
  <c r="K33" i="15"/>
  <c r="L33" i="15"/>
  <c r="N28" i="15"/>
  <c r="J28" i="15"/>
  <c r="K28" i="15"/>
  <c r="L28" i="15"/>
  <c r="M28" i="15"/>
  <c r="G17" i="15"/>
  <c r="Q17" i="15" s="1"/>
  <c r="B257" i="2"/>
  <c r="G21" i="15"/>
  <c r="Q19" i="15" s="1"/>
  <c r="B269" i="2"/>
  <c r="J32" i="15"/>
  <c r="K32" i="15"/>
  <c r="L32" i="15"/>
  <c r="M32" i="15"/>
  <c r="N32" i="15"/>
  <c r="J16" i="15"/>
  <c r="K16" i="15"/>
  <c r="L16" i="15"/>
  <c r="M16" i="15"/>
  <c r="N16" i="15"/>
  <c r="G14" i="15"/>
  <c r="Q14" i="15" s="1"/>
  <c r="B239" i="2"/>
  <c r="J27" i="15"/>
  <c r="K27" i="15"/>
  <c r="L27" i="15"/>
  <c r="M27" i="15"/>
  <c r="N27" i="15"/>
  <c r="J23" i="15"/>
  <c r="K23" i="15"/>
  <c r="L23" i="15"/>
  <c r="M23" i="15"/>
  <c r="N23" i="15"/>
  <c r="Q19" i="6"/>
  <c r="H19" i="6" s="1"/>
  <c r="J93" i="13"/>
  <c r="J93" i="14"/>
  <c r="F95" i="14"/>
  <c r="H193" i="13"/>
  <c r="H193" i="14"/>
  <c r="F107" i="5"/>
  <c r="F107" i="13"/>
  <c r="O22" i="9" a="1"/>
  <c r="O22" i="9" s="1"/>
  <c r="Q10" i="6"/>
  <c r="H10" i="6" s="1"/>
  <c r="J93" i="5"/>
  <c r="P19" i="6"/>
  <c r="G19" i="6" s="1"/>
  <c r="T19" i="6"/>
  <c r="K19" i="6" s="1"/>
  <c r="T10" i="6"/>
  <c r="K10" i="6" s="1"/>
  <c r="U10" i="6"/>
  <c r="L10" i="6" s="1"/>
  <c r="V10" i="6"/>
  <c r="M10" i="6" s="1"/>
  <c r="V19" i="6"/>
  <c r="M19" i="6" s="1"/>
  <c r="F19" i="6"/>
  <c r="F95" i="13"/>
  <c r="F95" i="5"/>
  <c r="J79" i="5"/>
  <c r="J79" i="13"/>
  <c r="J95" i="5"/>
  <c r="J95" i="13"/>
  <c r="F99" i="13"/>
  <c r="F99" i="5"/>
  <c r="F115" i="13"/>
  <c r="F115" i="5"/>
  <c r="J89" i="13"/>
  <c r="J89" i="5"/>
  <c r="H32" i="6"/>
  <c r="N32" i="6"/>
  <c r="F89" i="14" s="1"/>
  <c r="F64" i="6" a="1"/>
  <c r="F64" i="6" s="1"/>
  <c r="F101" i="13"/>
  <c r="F101" i="5"/>
  <c r="F109" i="5"/>
  <c r="F109" i="13"/>
  <c r="P10" i="6"/>
  <c r="G10" i="6" s="1"/>
  <c r="F20" i="6"/>
  <c r="U19" i="6"/>
  <c r="L19" i="6" s="1"/>
  <c r="R19" i="6"/>
  <c r="I19" i="6" s="1"/>
  <c r="N36" i="6"/>
  <c r="F93" i="14" s="1"/>
  <c r="E10" i="6"/>
  <c r="O44" i="9" a="1"/>
  <c r="O44" i="9" s="1"/>
  <c r="O6" i="4"/>
  <c r="J36" i="6"/>
  <c r="S19" i="6"/>
  <c r="J19" i="6" s="1"/>
  <c r="J5" i="4"/>
  <c r="I5" i="4"/>
  <c r="S10" i="6"/>
  <c r="J10" i="6" s="1"/>
  <c r="R10" i="6"/>
  <c r="I10" i="6" s="1"/>
  <c r="M5" i="4"/>
  <c r="K5" i="4"/>
  <c r="D58" i="6"/>
  <c r="F59" i="6"/>
  <c r="F58" i="6"/>
  <c r="F34" i="15" s="1"/>
  <c r="F25" i="6"/>
  <c r="F26" i="6"/>
  <c r="D25" i="6"/>
  <c r="N21" i="6"/>
  <c r="F79" i="14" s="1"/>
  <c r="H21" i="6"/>
  <c r="F39" i="6"/>
  <c r="D38" i="6"/>
  <c r="F38" i="6"/>
  <c r="F20" i="15" s="1"/>
  <c r="F23" i="6"/>
  <c r="F24" i="6"/>
  <c r="D23" i="6"/>
  <c r="F53" i="6"/>
  <c r="F52" i="6"/>
  <c r="F29" i="15" s="1"/>
  <c r="D52" i="6"/>
  <c r="H23" i="6"/>
  <c r="F21" i="6"/>
  <c r="F22" i="6"/>
  <c r="D21" i="6"/>
  <c r="F113" i="5" l="1"/>
  <c r="F113" i="14"/>
  <c r="F113" i="13"/>
  <c r="J83" i="5"/>
  <c r="J83" i="13"/>
  <c r="N25" i="6"/>
  <c r="F83" i="14" s="1"/>
  <c r="F111" i="14"/>
  <c r="F111" i="13"/>
  <c r="F111" i="5"/>
  <c r="J81" i="14"/>
  <c r="J81" i="5"/>
  <c r="F105" i="14"/>
  <c r="F105" i="13"/>
  <c r="F105" i="5"/>
  <c r="N23" i="6"/>
  <c r="F81" i="14" s="1"/>
  <c r="CP25" i="16"/>
  <c r="CR24" i="16"/>
  <c r="CJ25" i="16"/>
  <c r="CL24" i="16"/>
  <c r="CF23" i="16"/>
  <c r="CD24" i="16"/>
  <c r="BZ23" i="16"/>
  <c r="BX24" i="16"/>
  <c r="BT23" i="16"/>
  <c r="BR24" i="16"/>
  <c r="BN22" i="16"/>
  <c r="BL23" i="16"/>
  <c r="BF25" i="16"/>
  <c r="BH24" i="16"/>
  <c r="BB23" i="16"/>
  <c r="AZ24" i="16"/>
  <c r="AV24" i="16"/>
  <c r="AT25" i="16"/>
  <c r="AP23" i="16"/>
  <c r="AN24" i="16"/>
  <c r="AH24" i="16"/>
  <c r="AJ23" i="16"/>
  <c r="AD25" i="16"/>
  <c r="AB26" i="16"/>
  <c r="V26" i="16"/>
  <c r="X26" i="16" s="1"/>
  <c r="P92" i="16"/>
  <c r="R92" i="16" s="1"/>
  <c r="P26" i="16"/>
  <c r="R26" i="16" s="1"/>
  <c r="P113" i="16"/>
  <c r="R113" i="16" s="1"/>
  <c r="P143" i="16"/>
  <c r="R143" i="16" s="1"/>
  <c r="P53" i="16"/>
  <c r="R53" i="16" s="1"/>
  <c r="D99" i="16"/>
  <c r="F98" i="16"/>
  <c r="D23" i="16"/>
  <c r="F22" i="16"/>
  <c r="A258" i="2" a="1"/>
  <c r="A258" i="2" s="1"/>
  <c r="A240" i="2" a="1"/>
  <c r="A240" i="2" s="1"/>
  <c r="A270" i="2" a="1"/>
  <c r="A270" i="2" s="1"/>
  <c r="A276" i="2" a="1"/>
  <c r="A276" i="2" s="1"/>
  <c r="G29" i="15"/>
  <c r="Q25" i="15" s="1"/>
  <c r="B305" i="2"/>
  <c r="G34" i="15"/>
  <c r="Q28" i="15" s="1"/>
  <c r="B323" i="2"/>
  <c r="M21" i="15"/>
  <c r="J21" i="15"/>
  <c r="N21" i="15"/>
  <c r="K21" i="15"/>
  <c r="L21" i="15"/>
  <c r="N14" i="15"/>
  <c r="M14" i="15"/>
  <c r="K14" i="15"/>
  <c r="L14" i="15"/>
  <c r="J14" i="15"/>
  <c r="G20" i="15"/>
  <c r="B263" i="2"/>
  <c r="K22" i="15"/>
  <c r="L22" i="15"/>
  <c r="M22" i="15"/>
  <c r="N22" i="15"/>
  <c r="J22" i="15"/>
  <c r="L17" i="15"/>
  <c r="M17" i="15"/>
  <c r="N17" i="15"/>
  <c r="J17" i="15"/>
  <c r="K17" i="15"/>
  <c r="J74" i="13"/>
  <c r="J74" i="14"/>
  <c r="J77" i="5"/>
  <c r="J77" i="14"/>
  <c r="J77" i="13"/>
  <c r="D12" i="9"/>
  <c r="F83" i="13"/>
  <c r="F93" i="5"/>
  <c r="F93" i="13"/>
  <c r="J74" i="5"/>
  <c r="F89" i="5"/>
  <c r="F89" i="13"/>
  <c r="F79" i="5"/>
  <c r="F79" i="13"/>
  <c r="D11" i="9"/>
  <c r="D10" i="6"/>
  <c r="F11" i="6"/>
  <c r="F12" i="6"/>
  <c r="D20" i="14" s="1"/>
  <c r="F10" i="6"/>
  <c r="D19" i="14" s="1"/>
  <c r="N10" i="6"/>
  <c r="F74" i="14" s="1"/>
  <c r="N19" i="6"/>
  <c r="F77" i="14" s="1"/>
  <c r="F83" i="5" l="1"/>
  <c r="F81" i="13"/>
  <c r="F81" i="5"/>
  <c r="CP26" i="16"/>
  <c r="CR25" i="16"/>
  <c r="CJ26" i="16"/>
  <c r="CL25" i="16"/>
  <c r="CD25" i="16"/>
  <c r="CF24" i="16"/>
  <c r="BX25" i="16"/>
  <c r="BZ24" i="16"/>
  <c r="BR25" i="16"/>
  <c r="BT24" i="16"/>
  <c r="BN23" i="16"/>
  <c r="BL24" i="16"/>
  <c r="BF26" i="16"/>
  <c r="BH25" i="16"/>
  <c r="AZ25" i="16"/>
  <c r="BB24" i="16"/>
  <c r="AV25" i="16"/>
  <c r="AT26" i="16"/>
  <c r="AN25" i="16"/>
  <c r="AP24" i="16"/>
  <c r="AH25" i="16"/>
  <c r="AJ24" i="16"/>
  <c r="AB27" i="16"/>
  <c r="AD26" i="16"/>
  <c r="V27" i="16"/>
  <c r="X27" i="16" s="1"/>
  <c r="P114" i="16"/>
  <c r="R114" i="16" s="1"/>
  <c r="P93" i="16"/>
  <c r="R93" i="16" s="1"/>
  <c r="P54" i="16"/>
  <c r="R54" i="16" s="1"/>
  <c r="P144" i="16"/>
  <c r="R144" i="16" s="1"/>
  <c r="P27" i="16"/>
  <c r="R27" i="16" s="1"/>
  <c r="F99" i="16"/>
  <c r="D100" i="16"/>
  <c r="D24" i="16"/>
  <c r="F23" i="16"/>
  <c r="A264" i="2" a="1"/>
  <c r="A264" i="2" s="1"/>
  <c r="A306" i="2" a="1"/>
  <c r="A306" i="2" s="1"/>
  <c r="A324" i="2" a="1"/>
  <c r="A324" i="2" s="1"/>
  <c r="Q18" i="15"/>
  <c r="B146" i="15" s="1" a="1"/>
  <c r="B146" i="15" s="1"/>
  <c r="F146" i="15" s="1"/>
  <c r="K34" i="15"/>
  <c r="L34" i="15"/>
  <c r="M34" i="15"/>
  <c r="N34" i="15"/>
  <c r="J34" i="15"/>
  <c r="L29" i="15"/>
  <c r="K29" i="15"/>
  <c r="M29" i="15"/>
  <c r="N29" i="15"/>
  <c r="J29" i="15"/>
  <c r="J20" i="15"/>
  <c r="K20" i="15"/>
  <c r="L20" i="15"/>
  <c r="M20" i="15"/>
  <c r="N20" i="15"/>
  <c r="D13" i="9"/>
  <c r="E13" i="9" s="1"/>
  <c r="F74" i="5"/>
  <c r="F74" i="13"/>
  <c r="D19" i="13"/>
  <c r="D19" i="12"/>
  <c r="D20" i="5"/>
  <c r="D20" i="13"/>
  <c r="D20" i="12"/>
  <c r="F77" i="5"/>
  <c r="F77" i="13"/>
  <c r="D19" i="5"/>
  <c r="C19" i="9"/>
  <c r="CR26" i="16" l="1"/>
  <c r="CP27" i="16"/>
  <c r="CL26" i="16"/>
  <c r="CJ27" i="16"/>
  <c r="CD26" i="16"/>
  <c r="CF25" i="16"/>
  <c r="BX26" i="16"/>
  <c r="BZ25" i="16"/>
  <c r="BR26" i="16"/>
  <c r="BT25" i="16"/>
  <c r="BL25" i="16"/>
  <c r="BN24" i="16"/>
  <c r="BH26" i="16"/>
  <c r="BF27" i="16"/>
  <c r="AZ26" i="16"/>
  <c r="BB25" i="16"/>
  <c r="AV26" i="16"/>
  <c r="AT27" i="16"/>
  <c r="AN26" i="16"/>
  <c r="AP25" i="16"/>
  <c r="AJ25" i="16"/>
  <c r="AH26" i="16"/>
  <c r="AB28" i="16"/>
  <c r="AD27" i="16"/>
  <c r="V28" i="16"/>
  <c r="X28" i="16" s="1"/>
  <c r="P28" i="16"/>
  <c r="R28" i="16" s="1"/>
  <c r="P145" i="16"/>
  <c r="R145" i="16" s="1"/>
  <c r="P94" i="16"/>
  <c r="R94" i="16" s="1"/>
  <c r="P55" i="16"/>
  <c r="R55" i="16" s="1"/>
  <c r="P115" i="16"/>
  <c r="R115" i="16" s="1"/>
  <c r="F100" i="16"/>
  <c r="D101" i="16"/>
  <c r="D25" i="16"/>
  <c r="F24" i="16"/>
  <c r="A150" i="15"/>
  <c r="A151" i="15"/>
  <c r="A153" i="15"/>
  <c r="A146" i="15"/>
  <c r="A147" i="15"/>
  <c r="A148" i="15"/>
  <c r="A149" i="15"/>
  <c r="A152" i="15"/>
  <c r="B65" i="15" a="1"/>
  <c r="B65" i="15" s="1"/>
  <c r="F65" i="15" s="1"/>
  <c r="B155" i="15" a="1"/>
  <c r="B155" i="15" s="1"/>
  <c r="F155" i="15" s="1"/>
  <c r="B92" i="15" a="1"/>
  <c r="B92" i="15" s="1"/>
  <c r="F92" i="15" s="1"/>
  <c r="B83" i="15" a="1"/>
  <c r="B83" i="15" s="1"/>
  <c r="F83" i="15" s="1"/>
  <c r="B74" i="15" a="1"/>
  <c r="B74" i="15" s="1"/>
  <c r="F74" i="15" s="1"/>
  <c r="B164" i="15" a="1"/>
  <c r="B164" i="15" s="1"/>
  <c r="F164" i="15" s="1"/>
  <c r="B137" i="15" a="1"/>
  <c r="B137" i="15" s="1"/>
  <c r="F137" i="15" s="1"/>
  <c r="B38" i="15" a="1"/>
  <c r="B38" i="15" s="1"/>
  <c r="F38" i="15" s="1"/>
  <c r="B47" i="15" a="1"/>
  <c r="B47" i="15" s="1"/>
  <c r="F47" i="15" s="1"/>
  <c r="B110" i="15" a="1"/>
  <c r="B110" i="15" s="1"/>
  <c r="F110" i="15" s="1"/>
  <c r="B119" i="15" a="1"/>
  <c r="B119" i="15" s="1"/>
  <c r="F119" i="15" s="1"/>
  <c r="B101" i="15" a="1"/>
  <c r="B101" i="15" s="1"/>
  <c r="F101" i="15" s="1"/>
  <c r="B128" i="15" a="1"/>
  <c r="B128" i="15" s="1"/>
  <c r="F128" i="15" s="1"/>
  <c r="B56" i="15" a="1"/>
  <c r="B56" i="15" s="1"/>
  <c r="F56" i="15" s="1"/>
  <c r="CP28" i="16" l="1"/>
  <c r="CR27" i="16"/>
  <c r="CJ28" i="16"/>
  <c r="CL27" i="16"/>
  <c r="CF26" i="16"/>
  <c r="CD27" i="16"/>
  <c r="BZ26" i="16"/>
  <c r="BX27" i="16"/>
  <c r="BT26" i="16"/>
  <c r="BR27" i="16"/>
  <c r="BN25" i="16"/>
  <c r="BL26" i="16"/>
  <c r="BF28" i="16"/>
  <c r="BH27" i="16"/>
  <c r="BB26" i="16"/>
  <c r="AZ27" i="16"/>
  <c r="AV27" i="16"/>
  <c r="AT28" i="16"/>
  <c r="AP26" i="16"/>
  <c r="AN27" i="16"/>
  <c r="AH27" i="16"/>
  <c r="AJ26" i="16"/>
  <c r="AD28" i="16"/>
  <c r="AB29" i="16"/>
  <c r="V29" i="16"/>
  <c r="X29" i="16" s="1"/>
  <c r="P56" i="16"/>
  <c r="R56" i="16" s="1"/>
  <c r="P116" i="16"/>
  <c r="R116" i="16" s="1"/>
  <c r="P95" i="16"/>
  <c r="R95" i="16" s="1"/>
  <c r="P146" i="16"/>
  <c r="R146" i="16" s="1"/>
  <c r="P29" i="16"/>
  <c r="R29" i="16" s="1"/>
  <c r="F101" i="16"/>
  <c r="D102" i="16"/>
  <c r="D26" i="16"/>
  <c r="F25" i="16"/>
  <c r="A79" i="15"/>
  <c r="A77" i="15"/>
  <c r="A80" i="15"/>
  <c r="A81" i="15"/>
  <c r="A75" i="15"/>
  <c r="A74" i="15"/>
  <c r="A78" i="15"/>
  <c r="A76" i="15"/>
  <c r="A84" i="15"/>
  <c r="A85" i="15"/>
  <c r="A86" i="15"/>
  <c r="A87" i="15"/>
  <c r="A88" i="15"/>
  <c r="A89" i="15"/>
  <c r="A90" i="15"/>
  <c r="A83" i="15"/>
  <c r="A106" i="15"/>
  <c r="A105" i="15"/>
  <c r="A107" i="15"/>
  <c r="A108" i="15"/>
  <c r="A103" i="15"/>
  <c r="A101" i="15"/>
  <c r="A102" i="15"/>
  <c r="A104" i="15"/>
  <c r="A133" i="15"/>
  <c r="A134" i="15"/>
  <c r="A135" i="15"/>
  <c r="A128" i="15"/>
  <c r="A132" i="15"/>
  <c r="A129" i="15"/>
  <c r="A131" i="15"/>
  <c r="A130" i="15"/>
  <c r="A124" i="15"/>
  <c r="A119" i="15"/>
  <c r="A120" i="15"/>
  <c r="A123" i="15"/>
  <c r="A121" i="15"/>
  <c r="A126" i="15"/>
  <c r="A122" i="15"/>
  <c r="A125" i="15"/>
  <c r="A65" i="15"/>
  <c r="A72" i="15"/>
  <c r="A71" i="15"/>
  <c r="A66" i="15"/>
  <c r="A68" i="15"/>
  <c r="A67" i="15"/>
  <c r="A69" i="15"/>
  <c r="A70" i="15"/>
  <c r="A111" i="15"/>
  <c r="A112" i="15"/>
  <c r="A113" i="15"/>
  <c r="A114" i="15"/>
  <c r="A110" i="15"/>
  <c r="A115" i="15"/>
  <c r="A116" i="15"/>
  <c r="A117" i="15"/>
  <c r="A52" i="15"/>
  <c r="A48" i="15"/>
  <c r="A53" i="15"/>
  <c r="A51" i="15"/>
  <c r="A54" i="15"/>
  <c r="A47" i="15"/>
  <c r="A49" i="15"/>
  <c r="A50" i="15"/>
  <c r="A57" i="15"/>
  <c r="A58" i="15"/>
  <c r="A59" i="15"/>
  <c r="A60" i="15"/>
  <c r="A61" i="15"/>
  <c r="A56" i="15"/>
  <c r="A62" i="15"/>
  <c r="A63" i="15"/>
  <c r="A160" i="15"/>
  <c r="A158" i="15"/>
  <c r="A161" i="15"/>
  <c r="A162" i="15"/>
  <c r="A155" i="15"/>
  <c r="A156" i="15"/>
  <c r="A157" i="15"/>
  <c r="A159" i="15"/>
  <c r="A138" i="15"/>
  <c r="A139" i="15"/>
  <c r="A137" i="15"/>
  <c r="A140" i="15"/>
  <c r="A141" i="15"/>
  <c r="A142" i="15"/>
  <c r="A143" i="15"/>
  <c r="A144" i="15"/>
  <c r="A93" i="15"/>
  <c r="A97" i="15"/>
  <c r="A98" i="15"/>
  <c r="A99" i="15"/>
  <c r="A94" i="15"/>
  <c r="A95" i="15"/>
  <c r="A96" i="15"/>
  <c r="A92" i="15"/>
  <c r="A165" i="15"/>
  <c r="A166" i="15"/>
  <c r="A167" i="15"/>
  <c r="A164" i="15"/>
  <c r="A168" i="15"/>
  <c r="A169" i="15"/>
  <c r="A170" i="15"/>
  <c r="A171" i="15"/>
  <c r="A39" i="15"/>
  <c r="A40" i="15"/>
  <c r="A41" i="15"/>
  <c r="A42" i="15"/>
  <c r="A43" i="15"/>
  <c r="A44" i="15"/>
  <c r="A45" i="15"/>
  <c r="A38" i="15"/>
  <c r="CP29" i="16" l="1"/>
  <c r="CR28" i="16"/>
  <c r="CJ29" i="16"/>
  <c r="CL28" i="16"/>
  <c r="CD28" i="16"/>
  <c r="CF27" i="16"/>
  <c r="BX28" i="16"/>
  <c r="BZ27" i="16"/>
  <c r="BR28" i="16"/>
  <c r="BT27" i="16"/>
  <c r="BN26" i="16"/>
  <c r="BL27" i="16"/>
  <c r="BH28" i="16"/>
  <c r="BF29" i="16"/>
  <c r="AZ28" i="16"/>
  <c r="BB27" i="16"/>
  <c r="AV28" i="16"/>
  <c r="AT29" i="16"/>
  <c r="AN28" i="16"/>
  <c r="AP27" i="16"/>
  <c r="AH28" i="16"/>
  <c r="AJ27" i="16"/>
  <c r="AB30" i="16"/>
  <c r="AD29" i="16"/>
  <c r="V30" i="16"/>
  <c r="X30" i="16" s="1"/>
  <c r="P147" i="16"/>
  <c r="R147" i="16" s="1"/>
  <c r="P30" i="16"/>
  <c r="R30" i="16" s="1"/>
  <c r="P96" i="16"/>
  <c r="R96" i="16" s="1"/>
  <c r="P117" i="16"/>
  <c r="R117" i="16" s="1"/>
  <c r="P57" i="16"/>
  <c r="R57" i="16" s="1"/>
  <c r="F102" i="16"/>
  <c r="D103" i="16"/>
  <c r="D27" i="16"/>
  <c r="F26" i="16"/>
  <c r="CR29" i="16" l="1"/>
  <c r="CP30" i="16"/>
  <c r="CL29" i="16"/>
  <c r="CJ30" i="16"/>
  <c r="CD29" i="16"/>
  <c r="CF28" i="16"/>
  <c r="BX29" i="16"/>
  <c r="BZ28" i="16"/>
  <c r="BR29" i="16"/>
  <c r="BT28" i="16"/>
  <c r="BL28" i="16"/>
  <c r="BN27" i="16"/>
  <c r="BH29" i="16"/>
  <c r="BF30" i="16"/>
  <c r="AZ29" i="16"/>
  <c r="BB28" i="16"/>
  <c r="AV29" i="16"/>
  <c r="AT30" i="16"/>
  <c r="AN29" i="16"/>
  <c r="AP28" i="16"/>
  <c r="AJ28" i="16"/>
  <c r="AH29" i="16"/>
  <c r="AB31" i="16"/>
  <c r="AD30" i="16"/>
  <c r="V31" i="16"/>
  <c r="X31" i="16" s="1"/>
  <c r="P118" i="16"/>
  <c r="R118" i="16" s="1"/>
  <c r="P58" i="16"/>
  <c r="R58" i="16" s="1"/>
  <c r="P97" i="16"/>
  <c r="R97" i="16" s="1"/>
  <c r="P31" i="16"/>
  <c r="R31" i="16" s="1"/>
  <c r="P148" i="16"/>
  <c r="F103" i="16"/>
  <c r="D104" i="16"/>
  <c r="D28" i="16"/>
  <c r="F27" i="16"/>
  <c r="CR30" i="16" l="1"/>
  <c r="CP31" i="16"/>
  <c r="CJ31" i="16"/>
  <c r="CL30" i="16"/>
  <c r="CD30" i="16"/>
  <c r="CF29" i="16"/>
  <c r="BZ29" i="16"/>
  <c r="BX30" i="16"/>
  <c r="BT29" i="16"/>
  <c r="BR30" i="16"/>
  <c r="BN28" i="16"/>
  <c r="BL29" i="16"/>
  <c r="BF31" i="16"/>
  <c r="BH30" i="16"/>
  <c r="BB29" i="16"/>
  <c r="AZ30" i="16"/>
  <c r="AV30" i="16"/>
  <c r="AT31" i="16"/>
  <c r="AP29" i="16"/>
  <c r="AN30" i="16"/>
  <c r="P149" i="16"/>
  <c r="R148" i="16"/>
  <c r="AH30" i="16"/>
  <c r="AJ29" i="16"/>
  <c r="AD31" i="16"/>
  <c r="AB32" i="16"/>
  <c r="V32" i="16"/>
  <c r="X32" i="16" s="1"/>
  <c r="P98" i="16"/>
  <c r="R98" i="16" s="1"/>
  <c r="P32" i="16"/>
  <c r="R32" i="16" s="1"/>
  <c r="P59" i="16"/>
  <c r="R59" i="16" s="1"/>
  <c r="P119" i="16"/>
  <c r="R119" i="16" s="1"/>
  <c r="D105" i="16"/>
  <c r="F104" i="16"/>
  <c r="D29" i="16"/>
  <c r="F28" i="16"/>
  <c r="CP32" i="16" l="1"/>
  <c r="CR31" i="16"/>
  <c r="CJ32" i="16"/>
  <c r="CL31" i="16"/>
  <c r="CD31" i="16"/>
  <c r="CF30" i="16"/>
  <c r="BX31" i="16"/>
  <c r="BZ30" i="16"/>
  <c r="BR31" i="16"/>
  <c r="BT30" i="16"/>
  <c r="BN29" i="16"/>
  <c r="BL30" i="16"/>
  <c r="BF32" i="16"/>
  <c r="BH31" i="16"/>
  <c r="AZ31" i="16"/>
  <c r="BB30" i="16"/>
  <c r="AT32" i="16"/>
  <c r="AV31" i="16"/>
  <c r="AN31" i="16"/>
  <c r="AP30" i="16"/>
  <c r="R149" i="16"/>
  <c r="P150" i="16"/>
  <c r="AH31" i="16"/>
  <c r="AJ30" i="16"/>
  <c r="AB33" i="16"/>
  <c r="AD32" i="16"/>
  <c r="V33" i="16"/>
  <c r="X33" i="16" s="1"/>
  <c r="P120" i="16"/>
  <c r="R120" i="16" s="1"/>
  <c r="P60" i="16"/>
  <c r="R60" i="16" s="1"/>
  <c r="P33" i="16"/>
  <c r="R33" i="16" s="1"/>
  <c r="P99" i="16"/>
  <c r="R99" i="16" s="1"/>
  <c r="F105" i="16"/>
  <c r="D106" i="16"/>
  <c r="D30" i="16"/>
  <c r="F29" i="16"/>
  <c r="CR32" i="16" l="1"/>
  <c r="CP33" i="16"/>
  <c r="CL32" i="16"/>
  <c r="CJ33" i="16"/>
  <c r="CD32" i="16"/>
  <c r="CF31" i="16"/>
  <c r="BX32" i="16"/>
  <c r="BZ31" i="16"/>
  <c r="BR32" i="16"/>
  <c r="BT31" i="16"/>
  <c r="BL31" i="16"/>
  <c r="BN30" i="16"/>
  <c r="BH32" i="16"/>
  <c r="BF33" i="16"/>
  <c r="AZ32" i="16"/>
  <c r="BB31" i="16"/>
  <c r="AV32" i="16"/>
  <c r="AT33" i="16"/>
  <c r="AN32" i="16"/>
  <c r="AP31" i="16"/>
  <c r="R150" i="16"/>
  <c r="P151" i="16"/>
  <c r="AJ31" i="16"/>
  <c r="AH32" i="16"/>
  <c r="AB34" i="16"/>
  <c r="AD33" i="16"/>
  <c r="V34" i="16"/>
  <c r="X34" i="16" s="1"/>
  <c r="P121" i="16"/>
  <c r="R121" i="16" s="1"/>
  <c r="P100" i="16"/>
  <c r="R100" i="16" s="1"/>
  <c r="P34" i="16"/>
  <c r="R34" i="16" s="1"/>
  <c r="P61" i="16"/>
  <c r="R61" i="16" s="1"/>
  <c r="F106" i="16"/>
  <c r="D107" i="16"/>
  <c r="F30" i="16"/>
  <c r="CP34" i="16" l="1"/>
  <c r="CR33" i="16"/>
  <c r="CJ34" i="16"/>
  <c r="CL33" i="16"/>
  <c r="CF32" i="16"/>
  <c r="CD33" i="16"/>
  <c r="BZ32" i="16"/>
  <c r="BX33" i="16"/>
  <c r="BT32" i="16"/>
  <c r="BR33" i="16"/>
  <c r="BN31" i="16"/>
  <c r="BL32" i="16"/>
  <c r="BF34" i="16"/>
  <c r="BH33" i="16"/>
  <c r="BB32" i="16"/>
  <c r="AZ33" i="16"/>
  <c r="AV33" i="16"/>
  <c r="AT34" i="16"/>
  <c r="AP32" i="16"/>
  <c r="AN33" i="16"/>
  <c r="P152" i="16"/>
  <c r="R151" i="16"/>
  <c r="AH33" i="16"/>
  <c r="AJ32" i="16"/>
  <c r="AD34" i="16"/>
  <c r="AB35" i="16"/>
  <c r="V35" i="16"/>
  <c r="X35" i="16" s="1"/>
  <c r="P35" i="16"/>
  <c r="R35" i="16" s="1"/>
  <c r="P101" i="16"/>
  <c r="R101" i="16" s="1"/>
  <c r="P62" i="16"/>
  <c r="R62" i="16" s="1"/>
  <c r="P122" i="16"/>
  <c r="R122" i="16" s="1"/>
  <c r="F107" i="16"/>
  <c r="D108" i="16"/>
  <c r="CP35" i="16" l="1"/>
  <c r="CR34" i="16"/>
  <c r="CJ35" i="16"/>
  <c r="CL34" i="16"/>
  <c r="CD34" i="16"/>
  <c r="CF33" i="16"/>
  <c r="BX34" i="16"/>
  <c r="BZ33" i="16"/>
  <c r="BR34" i="16"/>
  <c r="BT33" i="16"/>
  <c r="BN32" i="16"/>
  <c r="BL33" i="16"/>
  <c r="BF35" i="16"/>
  <c r="BH34" i="16"/>
  <c r="AZ34" i="16"/>
  <c r="BB33" i="16"/>
  <c r="AT35" i="16"/>
  <c r="AV34" i="16"/>
  <c r="AN34" i="16"/>
  <c r="AP33" i="16"/>
  <c r="R152" i="16"/>
  <c r="P153" i="16"/>
  <c r="AH34" i="16"/>
  <c r="AJ33" i="16"/>
  <c r="AB36" i="16"/>
  <c r="AD35" i="16"/>
  <c r="V36" i="16"/>
  <c r="X36" i="16" s="1"/>
  <c r="P123" i="16"/>
  <c r="R123" i="16" s="1"/>
  <c r="P63" i="16"/>
  <c r="R63" i="16" s="1"/>
  <c r="P36" i="16"/>
  <c r="R36" i="16" s="1"/>
  <c r="F108" i="16"/>
  <c r="D109" i="16"/>
  <c r="CR35" i="16" l="1"/>
  <c r="CP36" i="16"/>
  <c r="CL35" i="16"/>
  <c r="CJ36" i="16"/>
  <c r="CD35" i="16"/>
  <c r="CF34" i="16"/>
  <c r="BX35" i="16"/>
  <c r="BZ34" i="16"/>
  <c r="BR35" i="16"/>
  <c r="BT34" i="16"/>
  <c r="BL34" i="16"/>
  <c r="BN33" i="16"/>
  <c r="BH35" i="16"/>
  <c r="BF36" i="16"/>
  <c r="AZ35" i="16"/>
  <c r="BB34" i="16"/>
  <c r="AV35" i="16"/>
  <c r="AT36" i="16"/>
  <c r="AN35" i="16"/>
  <c r="AP34" i="16"/>
  <c r="R153" i="16"/>
  <c r="P154" i="16"/>
  <c r="AJ34" i="16"/>
  <c r="AH35" i="16"/>
  <c r="AB37" i="16"/>
  <c r="AD36" i="16"/>
  <c r="V37" i="16"/>
  <c r="X37" i="16" s="1"/>
  <c r="P124" i="16"/>
  <c r="R124" i="16" s="1"/>
  <c r="P37" i="16"/>
  <c r="R37" i="16" s="1"/>
  <c r="P64" i="16"/>
  <c r="R64" i="16" s="1"/>
  <c r="F109" i="16"/>
  <c r="D110" i="16"/>
  <c r="CP37" i="16" l="1"/>
  <c r="CR36" i="16"/>
  <c r="CJ37" i="16"/>
  <c r="CL36" i="16"/>
  <c r="CF35" i="16"/>
  <c r="CD36" i="16"/>
  <c r="BZ35" i="16"/>
  <c r="BX36" i="16"/>
  <c r="BT35" i="16"/>
  <c r="BR36" i="16"/>
  <c r="BN34" i="16"/>
  <c r="BL35" i="16"/>
  <c r="BF37" i="16"/>
  <c r="BH36" i="16"/>
  <c r="BB35" i="16"/>
  <c r="AZ36" i="16"/>
  <c r="AV36" i="16"/>
  <c r="AT37" i="16"/>
  <c r="AP35" i="16"/>
  <c r="AN36" i="16"/>
  <c r="P155" i="16"/>
  <c r="R154" i="16"/>
  <c r="AH36" i="16"/>
  <c r="AJ35" i="16"/>
  <c r="AD37" i="16"/>
  <c r="AB38" i="16"/>
  <c r="V38" i="16"/>
  <c r="X38" i="16" s="1"/>
  <c r="P65" i="16"/>
  <c r="R65" i="16" s="1"/>
  <c r="P38" i="16"/>
  <c r="R38" i="16" s="1"/>
  <c r="P125" i="16"/>
  <c r="R125" i="16" s="1"/>
  <c r="D111" i="16"/>
  <c r="F110" i="16"/>
  <c r="CP38" i="16" l="1"/>
  <c r="CR37" i="16"/>
  <c r="CJ38" i="16"/>
  <c r="CL37" i="16"/>
  <c r="CD37" i="16"/>
  <c r="CF36" i="16"/>
  <c r="BX37" i="16"/>
  <c r="BZ36" i="16"/>
  <c r="BR37" i="16"/>
  <c r="BT36" i="16"/>
  <c r="BN35" i="16"/>
  <c r="BL36" i="16"/>
  <c r="BF38" i="16"/>
  <c r="BH37" i="16"/>
  <c r="AZ37" i="16"/>
  <c r="BB36" i="16"/>
  <c r="AV37" i="16"/>
  <c r="AT38" i="16"/>
  <c r="AN37" i="16"/>
  <c r="AP36" i="16"/>
  <c r="R155" i="16"/>
  <c r="P156" i="16"/>
  <c r="AH37" i="16"/>
  <c r="AJ36" i="16"/>
  <c r="AB39" i="16"/>
  <c r="AD38" i="16"/>
  <c r="V39" i="16"/>
  <c r="X39" i="16" s="1"/>
  <c r="P39" i="16"/>
  <c r="R39" i="16" s="1"/>
  <c r="P126" i="16"/>
  <c r="R126" i="16" s="1"/>
  <c r="P66" i="16"/>
  <c r="R66" i="16" s="1"/>
  <c r="F111" i="16"/>
  <c r="D112" i="16"/>
  <c r="CR38" i="16" l="1"/>
  <c r="CP39" i="16"/>
  <c r="CL38" i="16"/>
  <c r="CJ39" i="16"/>
  <c r="CD38" i="16"/>
  <c r="CF37" i="16"/>
  <c r="BX38" i="16"/>
  <c r="BZ37" i="16"/>
  <c r="BR38" i="16"/>
  <c r="BT37" i="16"/>
  <c r="BL37" i="16"/>
  <c r="BN36" i="16"/>
  <c r="BH38" i="16"/>
  <c r="BF39" i="16"/>
  <c r="AZ38" i="16"/>
  <c r="BB37" i="16"/>
  <c r="AV38" i="16"/>
  <c r="AT39" i="16"/>
  <c r="AN38" i="16"/>
  <c r="AP37" i="16"/>
  <c r="R156" i="16"/>
  <c r="P157" i="16"/>
  <c r="AJ37" i="16"/>
  <c r="AH38" i="16"/>
  <c r="AB40" i="16"/>
  <c r="AD39" i="16"/>
  <c r="V40" i="16"/>
  <c r="X40" i="16" s="1"/>
  <c r="P67" i="16"/>
  <c r="R67" i="16" s="1"/>
  <c r="P127" i="16"/>
  <c r="R127" i="16" s="1"/>
  <c r="P40" i="16"/>
  <c r="R40" i="16" s="1"/>
  <c r="F112" i="16"/>
  <c r="D113" i="16"/>
  <c r="CR39" i="16" l="1"/>
  <c r="CP40" i="16"/>
  <c r="CJ40" i="16"/>
  <c r="CL39" i="16"/>
  <c r="CF38" i="16"/>
  <c r="CD39" i="16"/>
  <c r="BZ38" i="16"/>
  <c r="BX39" i="16"/>
  <c r="BT38" i="16"/>
  <c r="BR39" i="16"/>
  <c r="BN37" i="16"/>
  <c r="BL38" i="16"/>
  <c r="BF40" i="16"/>
  <c r="BH39" i="16"/>
  <c r="BB38" i="16"/>
  <c r="AZ39" i="16"/>
  <c r="AV39" i="16"/>
  <c r="AT40" i="16"/>
  <c r="AP38" i="16"/>
  <c r="AN39" i="16"/>
  <c r="P158" i="16"/>
  <c r="R157" i="16"/>
  <c r="AH39" i="16"/>
  <c r="AJ38" i="16"/>
  <c r="AD40" i="16"/>
  <c r="AB41" i="16"/>
  <c r="V41" i="16"/>
  <c r="X41" i="16" s="1"/>
  <c r="P128" i="16"/>
  <c r="R128" i="16" s="1"/>
  <c r="P41" i="16"/>
  <c r="R41" i="16" s="1"/>
  <c r="P68" i="16"/>
  <c r="R68" i="16" s="1"/>
  <c r="F113" i="16"/>
  <c r="D114" i="16"/>
  <c r="CP41" i="16" l="1"/>
  <c r="CR40" i="16"/>
  <c r="CJ41" i="16"/>
  <c r="CL40" i="16"/>
  <c r="CD40" i="16"/>
  <c r="CF39" i="16"/>
  <c r="BX40" i="16"/>
  <c r="BZ39" i="16"/>
  <c r="BR40" i="16"/>
  <c r="BT39" i="16"/>
  <c r="BN38" i="16"/>
  <c r="BL39" i="16"/>
  <c r="BH40" i="16"/>
  <c r="BF41" i="16"/>
  <c r="AZ40" i="16"/>
  <c r="BB39" i="16"/>
  <c r="AV40" i="16"/>
  <c r="AT41" i="16"/>
  <c r="AN40" i="16"/>
  <c r="AP39" i="16"/>
  <c r="P159" i="16"/>
  <c r="R158" i="16"/>
  <c r="AH40" i="16"/>
  <c r="AJ39" i="16"/>
  <c r="AB42" i="16"/>
  <c r="AD41" i="16"/>
  <c r="V42" i="16"/>
  <c r="X42" i="16" s="1"/>
  <c r="P129" i="16"/>
  <c r="R129" i="16" s="1"/>
  <c r="P69" i="16"/>
  <c r="R69" i="16" s="1"/>
  <c r="F114" i="16"/>
  <c r="D115" i="16"/>
  <c r="CR41" i="16" l="1"/>
  <c r="CP42" i="16"/>
  <c r="CL41" i="16"/>
  <c r="CJ42" i="16"/>
  <c r="CD41" i="16"/>
  <c r="CF40" i="16"/>
  <c r="BX41" i="16"/>
  <c r="BZ40" i="16"/>
  <c r="BR41" i="16"/>
  <c r="BT40" i="16"/>
  <c r="BL40" i="16"/>
  <c r="BN39" i="16"/>
  <c r="BH41" i="16"/>
  <c r="BF42" i="16"/>
  <c r="AZ41" i="16"/>
  <c r="BB40" i="16"/>
  <c r="AV41" i="16"/>
  <c r="AT42" i="16"/>
  <c r="AN41" i="16"/>
  <c r="AP40" i="16"/>
  <c r="P160" i="16"/>
  <c r="R159" i="16"/>
  <c r="AJ40" i="16"/>
  <c r="AH41" i="16"/>
  <c r="AB43" i="16"/>
  <c r="AD42" i="16"/>
  <c r="V43" i="16"/>
  <c r="X43" i="16" s="1"/>
  <c r="P70" i="16"/>
  <c r="R70" i="16" s="1"/>
  <c r="P130" i="16"/>
  <c r="R130" i="16" s="1"/>
  <c r="F115" i="16"/>
  <c r="D116" i="16"/>
  <c r="CR42" i="16" l="1"/>
  <c r="CP43" i="16"/>
  <c r="CJ43" i="16"/>
  <c r="CL42" i="16"/>
  <c r="CF41" i="16"/>
  <c r="CD42" i="16"/>
  <c r="BZ41" i="16"/>
  <c r="BX42" i="16"/>
  <c r="BT41" i="16"/>
  <c r="BR42" i="16"/>
  <c r="BN40" i="16"/>
  <c r="BL41" i="16"/>
  <c r="BF43" i="16"/>
  <c r="BH42" i="16"/>
  <c r="BB41" i="16"/>
  <c r="AZ42" i="16"/>
  <c r="AV42" i="16"/>
  <c r="AT43" i="16"/>
  <c r="AP41" i="16"/>
  <c r="AN42" i="16"/>
  <c r="R160" i="16"/>
  <c r="P161" i="16"/>
  <c r="AH42" i="16"/>
  <c r="AJ41" i="16"/>
  <c r="AD43" i="16"/>
  <c r="AB44" i="16"/>
  <c r="V44" i="16"/>
  <c r="X44" i="16" s="1"/>
  <c r="P131" i="16"/>
  <c r="R131" i="16" s="1"/>
  <c r="P71" i="16"/>
  <c r="R71" i="16" s="1"/>
  <c r="F116" i="16"/>
  <c r="D117" i="16"/>
  <c r="CP44" i="16" l="1"/>
  <c r="CR43" i="16"/>
  <c r="CJ44" i="16"/>
  <c r="CL43" i="16"/>
  <c r="CD43" i="16"/>
  <c r="CF42" i="16"/>
  <c r="BX43" i="16"/>
  <c r="BZ42" i="16"/>
  <c r="BR43" i="16"/>
  <c r="BT42" i="16"/>
  <c r="BN41" i="16"/>
  <c r="BL42" i="16"/>
  <c r="BF44" i="16"/>
  <c r="BH43" i="16"/>
  <c r="AZ43" i="16"/>
  <c r="BB42" i="16"/>
  <c r="AV43" i="16"/>
  <c r="AT44" i="16"/>
  <c r="AN43" i="16"/>
  <c r="AP42" i="16"/>
  <c r="P162" i="16"/>
  <c r="R161" i="16"/>
  <c r="AH43" i="16"/>
  <c r="AJ42" i="16"/>
  <c r="AB45" i="16"/>
  <c r="AD44" i="16"/>
  <c r="V45" i="16"/>
  <c r="X45" i="16" s="1"/>
  <c r="P72" i="16"/>
  <c r="R72" i="16" s="1"/>
  <c r="F117" i="16"/>
  <c r="D118" i="16"/>
  <c r="CR44" i="16" l="1"/>
  <c r="CP45" i="16"/>
  <c r="CL44" i="16"/>
  <c r="CJ45" i="16"/>
  <c r="CD44" i="16"/>
  <c r="CF43" i="16"/>
  <c r="BX44" i="16"/>
  <c r="BZ43" i="16"/>
  <c r="BR44" i="16"/>
  <c r="BT43" i="16"/>
  <c r="BL43" i="16"/>
  <c r="BN42" i="16"/>
  <c r="BH44" i="16"/>
  <c r="BF45" i="16"/>
  <c r="AZ44" i="16"/>
  <c r="BB43" i="16"/>
  <c r="AV44" i="16"/>
  <c r="AT45" i="16"/>
  <c r="AN44" i="16"/>
  <c r="AP43" i="16"/>
  <c r="R162" i="16"/>
  <c r="P163" i="16"/>
  <c r="AJ43" i="16"/>
  <c r="AH44" i="16"/>
  <c r="AB46" i="16"/>
  <c r="AD45" i="16"/>
  <c r="V46" i="16"/>
  <c r="X46" i="16" s="1"/>
  <c r="P73" i="16"/>
  <c r="R73" i="16" s="1"/>
  <c r="F118" i="16"/>
  <c r="D119" i="16"/>
  <c r="CP46" i="16" l="1"/>
  <c r="CR45" i="16"/>
  <c r="CJ46" i="16"/>
  <c r="CL45" i="16"/>
  <c r="CF44" i="16"/>
  <c r="CD45" i="16"/>
  <c r="BZ44" i="16"/>
  <c r="BX45" i="16"/>
  <c r="BT44" i="16"/>
  <c r="BR45" i="16"/>
  <c r="BN43" i="16"/>
  <c r="BL44" i="16"/>
  <c r="BF46" i="16"/>
  <c r="BH45" i="16"/>
  <c r="BB44" i="16"/>
  <c r="AZ45" i="16"/>
  <c r="AV45" i="16"/>
  <c r="AT46" i="16"/>
  <c r="AP44" i="16"/>
  <c r="AN45" i="16"/>
  <c r="P164" i="16"/>
  <c r="R163" i="16"/>
  <c r="AH45" i="16"/>
  <c r="AJ44" i="16"/>
  <c r="AD46" i="16"/>
  <c r="AB47" i="16"/>
  <c r="V47" i="16"/>
  <c r="X47" i="16" s="1"/>
  <c r="P74" i="16"/>
  <c r="R74" i="16" s="1"/>
  <c r="D120" i="16"/>
  <c r="F119" i="16"/>
  <c r="CP47" i="16" l="1"/>
  <c r="CR46" i="16"/>
  <c r="CJ47" i="16"/>
  <c r="CL46" i="16"/>
  <c r="CD46" i="16"/>
  <c r="CF45" i="16"/>
  <c r="BX46" i="16"/>
  <c r="BZ45" i="16"/>
  <c r="BR46" i="16"/>
  <c r="BT45" i="16"/>
  <c r="BN44" i="16"/>
  <c r="BL45" i="16"/>
  <c r="BH46" i="16"/>
  <c r="BF47" i="16"/>
  <c r="AZ46" i="16"/>
  <c r="BB45" i="16"/>
  <c r="AV46" i="16"/>
  <c r="AT47" i="16"/>
  <c r="AN46" i="16"/>
  <c r="AP45" i="16"/>
  <c r="R164" i="16"/>
  <c r="P165" i="16"/>
  <c r="AH46" i="16"/>
  <c r="AJ45" i="16"/>
  <c r="AB48" i="16"/>
  <c r="AD47" i="16"/>
  <c r="V48" i="16"/>
  <c r="X48" i="16" s="1"/>
  <c r="P75" i="16"/>
  <c r="R75" i="16" s="1"/>
  <c r="F120" i="16"/>
  <c r="D121" i="16"/>
  <c r="CR47" i="16" l="1"/>
  <c r="CP48" i="16"/>
  <c r="CL47" i="16"/>
  <c r="CJ48" i="16"/>
  <c r="CD47" i="16"/>
  <c r="CF46" i="16"/>
  <c r="BX47" i="16"/>
  <c r="BZ46" i="16"/>
  <c r="BR47" i="16"/>
  <c r="BT46" i="16"/>
  <c r="BL46" i="16"/>
  <c r="BN45" i="16"/>
  <c r="BH47" i="16"/>
  <c r="BF48" i="16"/>
  <c r="AZ47" i="16"/>
  <c r="BB46" i="16"/>
  <c r="AV47" i="16"/>
  <c r="AT48" i="16"/>
  <c r="AN47" i="16"/>
  <c r="AP46" i="16"/>
  <c r="R165" i="16"/>
  <c r="P166" i="16"/>
  <c r="AJ46" i="16"/>
  <c r="AH47" i="16"/>
  <c r="AB49" i="16"/>
  <c r="AD48" i="16"/>
  <c r="V49" i="16"/>
  <c r="X49" i="16" s="1"/>
  <c r="P76" i="16"/>
  <c r="R76" i="16" s="1"/>
  <c r="F121" i="16"/>
  <c r="D122" i="16"/>
  <c r="CP49" i="16" l="1"/>
  <c r="CR48" i="16"/>
  <c r="CJ49" i="16"/>
  <c r="CL48" i="16"/>
  <c r="CF47" i="16"/>
  <c r="CD48" i="16"/>
  <c r="BZ47" i="16"/>
  <c r="BX48" i="16"/>
  <c r="BT47" i="16"/>
  <c r="BR48" i="16"/>
  <c r="BN46" i="16"/>
  <c r="BL47" i="16"/>
  <c r="BF49" i="16"/>
  <c r="BH48" i="16"/>
  <c r="BB47" i="16"/>
  <c r="AZ48" i="16"/>
  <c r="AV48" i="16"/>
  <c r="AT49" i="16"/>
  <c r="AP47" i="16"/>
  <c r="AN48" i="16"/>
  <c r="R166" i="16"/>
  <c r="P167" i="16"/>
  <c r="AH48" i="16"/>
  <c r="AJ47" i="16"/>
  <c r="AD49" i="16"/>
  <c r="AB50" i="16"/>
  <c r="V50" i="16"/>
  <c r="X50" i="16" s="1"/>
  <c r="P77" i="16"/>
  <c r="R77" i="16" s="1"/>
  <c r="F122" i="16"/>
  <c r="D123" i="16"/>
  <c r="CP50" i="16" l="1"/>
  <c r="CR49" i="16"/>
  <c r="CJ50" i="16"/>
  <c r="CL49" i="16"/>
  <c r="CD49" i="16"/>
  <c r="CF48" i="16"/>
  <c r="BX49" i="16"/>
  <c r="BZ48" i="16"/>
  <c r="BR49" i="16"/>
  <c r="BT48" i="16"/>
  <c r="BN47" i="16"/>
  <c r="BL48" i="16"/>
  <c r="BF50" i="16"/>
  <c r="BH49" i="16"/>
  <c r="AZ49" i="16"/>
  <c r="BB48" i="16"/>
  <c r="AV49" i="16"/>
  <c r="AT50" i="16"/>
  <c r="AN49" i="16"/>
  <c r="AP48" i="16"/>
  <c r="R167" i="16"/>
  <c r="P168" i="16"/>
  <c r="AH49" i="16"/>
  <c r="AJ48" i="16"/>
  <c r="AB51" i="16"/>
  <c r="AD50" i="16"/>
  <c r="V51" i="16"/>
  <c r="X51" i="16" s="1"/>
  <c r="P78" i="16"/>
  <c r="R78" i="16" s="1"/>
  <c r="F123" i="16"/>
  <c r="D124" i="16"/>
  <c r="CR50" i="16" l="1"/>
  <c r="CP51" i="16"/>
  <c r="CL50" i="16"/>
  <c r="CJ51" i="16"/>
  <c r="CD50" i="16"/>
  <c r="CF49" i="16"/>
  <c r="BX50" i="16"/>
  <c r="BZ49" i="16"/>
  <c r="BR50" i="16"/>
  <c r="BT49" i="16"/>
  <c r="BL49" i="16"/>
  <c r="BN48" i="16"/>
  <c r="BH50" i="16"/>
  <c r="BF51" i="16"/>
  <c r="AZ50" i="16"/>
  <c r="BB49" i="16"/>
  <c r="AV50" i="16"/>
  <c r="AT51" i="16"/>
  <c r="AN50" i="16"/>
  <c r="AP49" i="16"/>
  <c r="P169" i="16"/>
  <c r="R168" i="16"/>
  <c r="AJ49" i="16"/>
  <c r="AH50" i="16"/>
  <c r="AB52" i="16"/>
  <c r="AD51" i="16"/>
  <c r="V52" i="16"/>
  <c r="X52" i="16" s="1"/>
  <c r="P79" i="16"/>
  <c r="R79" i="16" s="1"/>
  <c r="D125" i="16"/>
  <c r="F124" i="16"/>
  <c r="CP52" i="16" l="1"/>
  <c r="CR51" i="16"/>
  <c r="CJ52" i="16"/>
  <c r="CL51" i="16"/>
  <c r="CF50" i="16"/>
  <c r="CD51" i="16"/>
  <c r="BZ50" i="16"/>
  <c r="BX51" i="16"/>
  <c r="BT50" i="16"/>
  <c r="BR51" i="16"/>
  <c r="BN49" i="16"/>
  <c r="BL50" i="16"/>
  <c r="BF52" i="16"/>
  <c r="BH51" i="16"/>
  <c r="BB50" i="16"/>
  <c r="AZ51" i="16"/>
  <c r="AV51" i="16"/>
  <c r="AT52" i="16"/>
  <c r="AP50" i="16"/>
  <c r="AN51" i="16"/>
  <c r="P170" i="16"/>
  <c r="R169" i="16"/>
  <c r="AH51" i="16"/>
  <c r="AJ50" i="16"/>
  <c r="AD52" i="16"/>
  <c r="AB53" i="16"/>
  <c r="V53" i="16"/>
  <c r="X53" i="16" s="1"/>
  <c r="P80" i="16"/>
  <c r="R80" i="16" s="1"/>
  <c r="D126" i="16"/>
  <c r="F125" i="16"/>
  <c r="CP53" i="16" l="1"/>
  <c r="CR52" i="16"/>
  <c r="CJ53" i="16"/>
  <c r="CL52" i="16"/>
  <c r="CD52" i="16"/>
  <c r="CF51" i="16"/>
  <c r="BX52" i="16"/>
  <c r="BZ51" i="16"/>
  <c r="BR52" i="16"/>
  <c r="BT51" i="16"/>
  <c r="BN50" i="16"/>
  <c r="BL51" i="16"/>
  <c r="BH52" i="16"/>
  <c r="BF53" i="16"/>
  <c r="AZ52" i="16"/>
  <c r="BB51" i="16"/>
  <c r="AT53" i="16"/>
  <c r="AV52" i="16"/>
  <c r="AN52" i="16"/>
  <c r="AP51" i="16"/>
  <c r="R170" i="16"/>
  <c r="P171" i="16"/>
  <c r="AH52" i="16"/>
  <c r="AJ51" i="16"/>
  <c r="AB54" i="16"/>
  <c r="AD53" i="16"/>
  <c r="V54" i="16"/>
  <c r="X54" i="16" s="1"/>
  <c r="D127" i="16"/>
  <c r="F126" i="16"/>
  <c r="CR53" i="16" l="1"/>
  <c r="CP54" i="16"/>
  <c r="CL53" i="16"/>
  <c r="CJ54" i="16"/>
  <c r="CD53" i="16"/>
  <c r="CF52" i="16"/>
  <c r="BX53" i="16"/>
  <c r="BZ52" i="16"/>
  <c r="BR53" i="16"/>
  <c r="BT52" i="16"/>
  <c r="BL52" i="16"/>
  <c r="BN51" i="16"/>
  <c r="BH53" i="16"/>
  <c r="BF54" i="16"/>
  <c r="AZ53" i="16"/>
  <c r="BB52" i="16"/>
  <c r="AV53" i="16"/>
  <c r="AT54" i="16"/>
  <c r="AN53" i="16"/>
  <c r="AP52" i="16"/>
  <c r="R171" i="16"/>
  <c r="P172" i="16"/>
  <c r="AJ52" i="16"/>
  <c r="AH53" i="16"/>
  <c r="AB55" i="16"/>
  <c r="AD54" i="16"/>
  <c r="V55" i="16"/>
  <c r="X55" i="16" s="1"/>
  <c r="F127" i="16"/>
  <c r="D128" i="16"/>
  <c r="CR54" i="16" l="1"/>
  <c r="CP55" i="16"/>
  <c r="CJ55" i="16"/>
  <c r="CL54" i="16"/>
  <c r="CF53" i="16"/>
  <c r="CD54" i="16"/>
  <c r="BZ53" i="16"/>
  <c r="BX54" i="16"/>
  <c r="BT53" i="16"/>
  <c r="BR54" i="16"/>
  <c r="BN52" i="16"/>
  <c r="BL53" i="16"/>
  <c r="BF55" i="16"/>
  <c r="BH54" i="16"/>
  <c r="BB53" i="16"/>
  <c r="AZ54" i="16"/>
  <c r="AV54" i="16"/>
  <c r="AT55" i="16"/>
  <c r="AP53" i="16"/>
  <c r="AN54" i="16"/>
  <c r="P173" i="16"/>
  <c r="R172" i="16"/>
  <c r="AH54" i="16"/>
  <c r="AJ53" i="16"/>
  <c r="AD55" i="16"/>
  <c r="AB56" i="16"/>
  <c r="V56" i="16"/>
  <c r="X56" i="16" s="1"/>
  <c r="D129" i="16"/>
  <c r="F128" i="16"/>
  <c r="CP56" i="16" l="1"/>
  <c r="CR55" i="16"/>
  <c r="CJ56" i="16"/>
  <c r="CL55" i="16"/>
  <c r="CD55" i="16"/>
  <c r="CF54" i="16"/>
  <c r="BX55" i="16"/>
  <c r="BZ54" i="16"/>
  <c r="BR55" i="16"/>
  <c r="BT54" i="16"/>
  <c r="BN53" i="16"/>
  <c r="BL54" i="16"/>
  <c r="BF56" i="16"/>
  <c r="BH55" i="16"/>
  <c r="AZ55" i="16"/>
  <c r="BB54" i="16"/>
  <c r="AV55" i="16"/>
  <c r="AT56" i="16"/>
  <c r="AN55" i="16"/>
  <c r="AP54" i="16"/>
  <c r="R173" i="16"/>
  <c r="P174" i="16"/>
  <c r="AH55" i="16"/>
  <c r="AJ54" i="16"/>
  <c r="AB57" i="16"/>
  <c r="AD56" i="16"/>
  <c r="V57" i="16"/>
  <c r="X57" i="16" s="1"/>
  <c r="F129" i="16"/>
  <c r="D130" i="16"/>
  <c r="CR56" i="16" l="1"/>
  <c r="CP57" i="16"/>
  <c r="CL56" i="16"/>
  <c r="CJ57" i="16"/>
  <c r="CD56" i="16"/>
  <c r="CF55" i="16"/>
  <c r="BX56" i="16"/>
  <c r="BZ55" i="16"/>
  <c r="BR56" i="16"/>
  <c r="BT55" i="16"/>
  <c r="BL55" i="16"/>
  <c r="BN54" i="16"/>
  <c r="BH56" i="16"/>
  <c r="BF57" i="16"/>
  <c r="AZ56" i="16"/>
  <c r="BB55" i="16"/>
  <c r="AV56" i="16"/>
  <c r="AT57" i="16"/>
  <c r="AN56" i="16"/>
  <c r="AP55" i="16"/>
  <c r="R174" i="16"/>
  <c r="P175" i="16"/>
  <c r="AJ55" i="16"/>
  <c r="AH56" i="16"/>
  <c r="AB58" i="16"/>
  <c r="AD57" i="16"/>
  <c r="V58" i="16"/>
  <c r="X58" i="16" s="1"/>
  <c r="F130" i="16"/>
  <c r="D131" i="16"/>
  <c r="CP58" i="16" l="1"/>
  <c r="CR57" i="16"/>
  <c r="CJ58" i="16"/>
  <c r="CL57" i="16"/>
  <c r="CF56" i="16"/>
  <c r="CD57" i="16"/>
  <c r="BZ56" i="16"/>
  <c r="BX57" i="16"/>
  <c r="BT56" i="16"/>
  <c r="BR57" i="16"/>
  <c r="BN55" i="16"/>
  <c r="BL56" i="16"/>
  <c r="BF58" i="16"/>
  <c r="BH57" i="16"/>
  <c r="BB56" i="16"/>
  <c r="AZ57" i="16"/>
  <c r="AV57" i="16"/>
  <c r="AT58" i="16"/>
  <c r="AP56" i="16"/>
  <c r="AN57" i="16"/>
  <c r="P176" i="16"/>
  <c r="R175" i="16"/>
  <c r="AH57" i="16"/>
  <c r="AJ56" i="16"/>
  <c r="AD58" i="16"/>
  <c r="AB59" i="16"/>
  <c r="V59" i="16"/>
  <c r="X59" i="16" s="1"/>
  <c r="D132" i="16"/>
  <c r="F131" i="16"/>
  <c r="CP59" i="16" l="1"/>
  <c r="CR58" i="16"/>
  <c r="CJ59" i="16"/>
  <c r="CL58" i="16"/>
  <c r="CD58" i="16"/>
  <c r="CF57" i="16"/>
  <c r="BX58" i="16"/>
  <c r="BZ57" i="16"/>
  <c r="BR58" i="16"/>
  <c r="BT57" i="16"/>
  <c r="BN56" i="16"/>
  <c r="BL57" i="16"/>
  <c r="BH58" i="16"/>
  <c r="BF59" i="16"/>
  <c r="AZ58" i="16"/>
  <c r="BB57" i="16"/>
  <c r="AT59" i="16"/>
  <c r="AV58" i="16"/>
  <c r="AN58" i="16"/>
  <c r="AP57" i="16"/>
  <c r="R176" i="16"/>
  <c r="P177" i="16"/>
  <c r="AH58" i="16"/>
  <c r="AJ57" i="16"/>
  <c r="AB60" i="16"/>
  <c r="AD59" i="16"/>
  <c r="V60" i="16"/>
  <c r="X60" i="16" s="1"/>
  <c r="F132" i="16"/>
  <c r="D133" i="16"/>
  <c r="CR59" i="16" l="1"/>
  <c r="CP60" i="16"/>
  <c r="CL59" i="16"/>
  <c r="CJ60" i="16"/>
  <c r="CD59" i="16"/>
  <c r="CF58" i="16"/>
  <c r="BX59" i="16"/>
  <c r="BZ58" i="16"/>
  <c r="BR59" i="16"/>
  <c r="BT58" i="16"/>
  <c r="BL58" i="16"/>
  <c r="BN57" i="16"/>
  <c r="BH59" i="16"/>
  <c r="BF60" i="16"/>
  <c r="AZ59" i="16"/>
  <c r="BB58" i="16"/>
  <c r="AV59" i="16"/>
  <c r="AT60" i="16"/>
  <c r="AN59" i="16"/>
  <c r="AP58" i="16"/>
  <c r="R177" i="16"/>
  <c r="P178" i="16"/>
  <c r="AJ58" i="16"/>
  <c r="AH59" i="16"/>
  <c r="AB61" i="16"/>
  <c r="AD60" i="16"/>
  <c r="V61" i="16"/>
  <c r="X61" i="16" s="1"/>
  <c r="F133" i="16"/>
  <c r="D134" i="16"/>
  <c r="CR60" i="16" l="1"/>
  <c r="CP61" i="16"/>
  <c r="CJ61" i="16"/>
  <c r="CL60" i="16"/>
  <c r="CF59" i="16"/>
  <c r="CD60" i="16"/>
  <c r="BZ59" i="16"/>
  <c r="BX60" i="16"/>
  <c r="BT59" i="16"/>
  <c r="BR60" i="16"/>
  <c r="BN58" i="16"/>
  <c r="BL59" i="16"/>
  <c r="BF61" i="16"/>
  <c r="BH60" i="16"/>
  <c r="BB59" i="16"/>
  <c r="AZ60" i="16"/>
  <c r="AV60" i="16"/>
  <c r="AT61" i="16"/>
  <c r="AP59" i="16"/>
  <c r="AN60" i="16"/>
  <c r="P179" i="16"/>
  <c r="R178" i="16"/>
  <c r="AH60" i="16"/>
  <c r="AJ59" i="16"/>
  <c r="AD61" i="16"/>
  <c r="AB62" i="16"/>
  <c r="V62" i="16"/>
  <c r="X62" i="16" s="1"/>
  <c r="D135" i="16"/>
  <c r="F134" i="16"/>
  <c r="CP62" i="16" l="1"/>
  <c r="CR61" i="16"/>
  <c r="CJ62" i="16"/>
  <c r="CL61" i="16"/>
  <c r="CD61" i="16"/>
  <c r="CF60" i="16"/>
  <c r="BX61" i="16"/>
  <c r="BZ60" i="16"/>
  <c r="BR61" i="16"/>
  <c r="BT60" i="16"/>
  <c r="BN59" i="16"/>
  <c r="BL60" i="16"/>
  <c r="BH61" i="16"/>
  <c r="BF62" i="16"/>
  <c r="AZ61" i="16"/>
  <c r="BB60" i="16"/>
  <c r="AV61" i="16"/>
  <c r="AT62" i="16"/>
  <c r="AN61" i="16"/>
  <c r="AP60" i="16"/>
  <c r="R179" i="16"/>
  <c r="P180" i="16"/>
  <c r="AH61" i="16"/>
  <c r="AJ60" i="16"/>
  <c r="AB63" i="16"/>
  <c r="AD62" i="16"/>
  <c r="V63" i="16"/>
  <c r="X63" i="16" s="1"/>
  <c r="F135" i="16"/>
  <c r="D136" i="16"/>
  <c r="CR62" i="16" l="1"/>
  <c r="CP63" i="16"/>
  <c r="CL62" i="16"/>
  <c r="CJ63" i="16"/>
  <c r="CD62" i="16"/>
  <c r="CF61" i="16"/>
  <c r="BX62" i="16"/>
  <c r="BZ61" i="16"/>
  <c r="BR62" i="16"/>
  <c r="BT61" i="16"/>
  <c r="BL61" i="16"/>
  <c r="BN60" i="16"/>
  <c r="BH62" i="16"/>
  <c r="BF63" i="16"/>
  <c r="AZ62" i="16"/>
  <c r="BB61" i="16"/>
  <c r="AV62" i="16"/>
  <c r="AT63" i="16"/>
  <c r="AN62" i="16"/>
  <c r="AP61" i="16"/>
  <c r="R180" i="16"/>
  <c r="P181" i="16"/>
  <c r="AJ61" i="16"/>
  <c r="AH62" i="16"/>
  <c r="AB64" i="16"/>
  <c r="AD63" i="16"/>
  <c r="V64" i="16"/>
  <c r="X64" i="16" s="1"/>
  <c r="F136" i="16"/>
  <c r="D137" i="16"/>
  <c r="CR63" i="16" l="1"/>
  <c r="CP64" i="16"/>
  <c r="CL63" i="16"/>
  <c r="CJ64" i="16"/>
  <c r="CD63" i="16"/>
  <c r="CF62" i="16"/>
  <c r="BZ62" i="16"/>
  <c r="BX63" i="16"/>
  <c r="BT62" i="16"/>
  <c r="BR63" i="16"/>
  <c r="BN61" i="16"/>
  <c r="BL62" i="16"/>
  <c r="BF64" i="16"/>
  <c r="BH63" i="16"/>
  <c r="BB62" i="16"/>
  <c r="AZ63" i="16"/>
  <c r="AV63" i="16"/>
  <c r="AT64" i="16"/>
  <c r="AP62" i="16"/>
  <c r="AN63" i="16"/>
  <c r="P182" i="16"/>
  <c r="R181" i="16"/>
  <c r="AH63" i="16"/>
  <c r="AJ62" i="16"/>
  <c r="AD64" i="16"/>
  <c r="AB65" i="16"/>
  <c r="V65" i="16"/>
  <c r="X65" i="16" s="1"/>
  <c r="D138" i="16"/>
  <c r="F137" i="16"/>
  <c r="CP65" i="16" l="1"/>
  <c r="CR64" i="16"/>
  <c r="CJ65" i="16"/>
  <c r="CL64" i="16"/>
  <c r="CD64" i="16"/>
  <c r="CF63" i="16"/>
  <c r="BX64" i="16"/>
  <c r="BZ63" i="16"/>
  <c r="BR64" i="16"/>
  <c r="BT63" i="16"/>
  <c r="BN62" i="16"/>
  <c r="BL63" i="16"/>
  <c r="BH64" i="16"/>
  <c r="BF65" i="16"/>
  <c r="AZ64" i="16"/>
  <c r="BB63" i="16"/>
  <c r="AV64" i="16"/>
  <c r="AT65" i="16"/>
  <c r="AN64" i="16"/>
  <c r="AP63" i="16"/>
  <c r="R182" i="16"/>
  <c r="P183" i="16"/>
  <c r="AH64" i="16"/>
  <c r="AJ63" i="16"/>
  <c r="AB66" i="16"/>
  <c r="AD65" i="16"/>
  <c r="V66" i="16"/>
  <c r="X66" i="16" s="1"/>
  <c r="F138" i="16"/>
  <c r="D139" i="16"/>
  <c r="CR65" i="16" l="1"/>
  <c r="CP66" i="16"/>
  <c r="CL65" i="16"/>
  <c r="CJ66" i="16"/>
  <c r="CD65" i="16"/>
  <c r="CF64" i="16"/>
  <c r="BX65" i="16"/>
  <c r="BZ64" i="16"/>
  <c r="BR65" i="16"/>
  <c r="BT64" i="16"/>
  <c r="BL64" i="16"/>
  <c r="BN63" i="16"/>
  <c r="BH65" i="16"/>
  <c r="BF66" i="16"/>
  <c r="AZ65" i="16"/>
  <c r="BB64" i="16"/>
  <c r="AV65" i="16"/>
  <c r="AT66" i="16"/>
  <c r="AN65" i="16"/>
  <c r="AP64" i="16"/>
  <c r="R183" i="16"/>
  <c r="P184" i="16"/>
  <c r="AJ64" i="16"/>
  <c r="AH65" i="16"/>
  <c r="AB67" i="16"/>
  <c r="AD66" i="16"/>
  <c r="V67" i="16"/>
  <c r="X67" i="16" s="1"/>
  <c r="F139" i="16"/>
  <c r="D140" i="16"/>
  <c r="CP67" i="16" l="1"/>
  <c r="CR66" i="16"/>
  <c r="CJ67" i="16"/>
  <c r="CL66" i="16"/>
  <c r="CF65" i="16"/>
  <c r="CD66" i="16"/>
  <c r="BZ65" i="16"/>
  <c r="BX66" i="16"/>
  <c r="BT65" i="16"/>
  <c r="BR66" i="16"/>
  <c r="BN64" i="16"/>
  <c r="BL65" i="16"/>
  <c r="BF67" i="16"/>
  <c r="BH66" i="16"/>
  <c r="BB65" i="16"/>
  <c r="AZ66" i="16"/>
  <c r="AV66" i="16"/>
  <c r="AT67" i="16"/>
  <c r="AP65" i="16"/>
  <c r="AN66" i="16"/>
  <c r="P185" i="16"/>
  <c r="R184" i="16"/>
  <c r="AH66" i="16"/>
  <c r="AJ65" i="16"/>
  <c r="AB68" i="16"/>
  <c r="AD67" i="16"/>
  <c r="V68" i="16"/>
  <c r="X68" i="16" s="1"/>
  <c r="D141" i="16"/>
  <c r="F140" i="16"/>
  <c r="CP68" i="16" l="1"/>
  <c r="CR67" i="16"/>
  <c r="CJ68" i="16"/>
  <c r="CL67" i="16"/>
  <c r="CD67" i="16"/>
  <c r="CF66" i="16"/>
  <c r="BX67" i="16"/>
  <c r="BZ66" i="16"/>
  <c r="BR67" i="16"/>
  <c r="BT66" i="16"/>
  <c r="BN65" i="16"/>
  <c r="BL66" i="16"/>
  <c r="BH67" i="16"/>
  <c r="BF68" i="16"/>
  <c r="AZ67" i="16"/>
  <c r="BB66" i="16"/>
  <c r="AV67" i="16"/>
  <c r="AT68" i="16"/>
  <c r="AN67" i="16"/>
  <c r="AP66" i="16"/>
  <c r="R185" i="16"/>
  <c r="P186" i="16"/>
  <c r="AH67" i="16"/>
  <c r="AJ66" i="16"/>
  <c r="AB69" i="16"/>
  <c r="AD68" i="16"/>
  <c r="V69" i="16"/>
  <c r="X69" i="16" s="1"/>
  <c r="F141" i="16"/>
  <c r="D142" i="16"/>
  <c r="CR68" i="16" l="1"/>
  <c r="CP69" i="16"/>
  <c r="CL68" i="16"/>
  <c r="CJ69" i="16"/>
  <c r="CD68" i="16"/>
  <c r="CF67" i="16"/>
  <c r="BX68" i="16"/>
  <c r="BZ67" i="16"/>
  <c r="BR68" i="16"/>
  <c r="BT67" i="16"/>
  <c r="BL67" i="16"/>
  <c r="BN66" i="16"/>
  <c r="BH68" i="16"/>
  <c r="BF69" i="16"/>
  <c r="AZ68" i="16"/>
  <c r="BB67" i="16"/>
  <c r="AV68" i="16"/>
  <c r="AT69" i="16"/>
  <c r="AN68" i="16"/>
  <c r="AP67" i="16"/>
  <c r="R186" i="16"/>
  <c r="P187" i="16"/>
  <c r="AJ67" i="16"/>
  <c r="AH68" i="16"/>
  <c r="AB70" i="16"/>
  <c r="AD69" i="16"/>
  <c r="V70" i="16"/>
  <c r="X70" i="16" s="1"/>
  <c r="F142" i="16"/>
  <c r="D143" i="16"/>
  <c r="CR69" i="16" l="1"/>
  <c r="CP70" i="16"/>
  <c r="CJ70" i="16"/>
  <c r="CL69" i="16"/>
  <c r="CF68" i="16"/>
  <c r="CD69" i="16"/>
  <c r="BZ68" i="16"/>
  <c r="BX69" i="16"/>
  <c r="BT68" i="16"/>
  <c r="BR69" i="16"/>
  <c r="BN67" i="16"/>
  <c r="BL68" i="16"/>
  <c r="BF70" i="16"/>
  <c r="BH69" i="16"/>
  <c r="BB68" i="16"/>
  <c r="AZ69" i="16"/>
  <c r="AV69" i="16"/>
  <c r="AT70" i="16"/>
  <c r="AP68" i="16"/>
  <c r="AN69" i="16"/>
  <c r="P188" i="16"/>
  <c r="R187" i="16"/>
  <c r="AH69" i="16"/>
  <c r="AJ68" i="16"/>
  <c r="AD70" i="16"/>
  <c r="AB71" i="16"/>
  <c r="V71" i="16"/>
  <c r="X71" i="16" s="1"/>
  <c r="D144" i="16"/>
  <c r="F143" i="16"/>
  <c r="CP71" i="16" l="1"/>
  <c r="CR70" i="16"/>
  <c r="CJ71" i="16"/>
  <c r="CL70" i="16"/>
  <c r="CD70" i="16"/>
  <c r="CF69" i="16"/>
  <c r="BX70" i="16"/>
  <c r="BZ69" i="16"/>
  <c r="BR70" i="16"/>
  <c r="BT69" i="16"/>
  <c r="BN68" i="16"/>
  <c r="BL69" i="16"/>
  <c r="BF71" i="16"/>
  <c r="BH70" i="16"/>
  <c r="AZ70" i="16"/>
  <c r="BB69" i="16"/>
  <c r="AV70" i="16"/>
  <c r="AT71" i="16"/>
  <c r="AN70" i="16"/>
  <c r="AP69" i="16"/>
  <c r="R188" i="16"/>
  <c r="P189" i="16"/>
  <c r="AH70" i="16"/>
  <c r="AJ69" i="16"/>
  <c r="AB72" i="16"/>
  <c r="AD71" i="16"/>
  <c r="V72" i="16"/>
  <c r="X72" i="16" s="1"/>
  <c r="F144" i="16"/>
  <c r="D145" i="16"/>
  <c r="CR71" i="16" l="1"/>
  <c r="CP72" i="16"/>
  <c r="CL71" i="16"/>
  <c r="CJ72" i="16"/>
  <c r="CD71" i="16"/>
  <c r="CF70" i="16"/>
  <c r="BX71" i="16"/>
  <c r="BZ70" i="16"/>
  <c r="BR71" i="16"/>
  <c r="BT70" i="16"/>
  <c r="BL70" i="16"/>
  <c r="BN69" i="16"/>
  <c r="BH71" i="16"/>
  <c r="BF72" i="16"/>
  <c r="AZ71" i="16"/>
  <c r="BB70" i="16"/>
  <c r="AV71" i="16"/>
  <c r="AT72" i="16"/>
  <c r="AN71" i="16"/>
  <c r="AP70" i="16"/>
  <c r="R189" i="16"/>
  <c r="P190" i="16"/>
  <c r="AJ70" i="16"/>
  <c r="AH71" i="16"/>
  <c r="AB73" i="16"/>
  <c r="AD72" i="16"/>
  <c r="V73" i="16"/>
  <c r="X73" i="16" s="1"/>
  <c r="F145" i="16"/>
  <c r="D146" i="16"/>
  <c r="CR72" i="16" l="1"/>
  <c r="CP73" i="16"/>
  <c r="CJ73" i="16"/>
  <c r="CL72" i="16"/>
  <c r="CF71" i="16"/>
  <c r="CD72" i="16"/>
  <c r="BZ71" i="16"/>
  <c r="BX72" i="16"/>
  <c r="BT71" i="16"/>
  <c r="BR72" i="16"/>
  <c r="BN70" i="16"/>
  <c r="BL71" i="16"/>
  <c r="BF73" i="16"/>
  <c r="BH72" i="16"/>
  <c r="BB71" i="16"/>
  <c r="AZ72" i="16"/>
  <c r="AV72" i="16"/>
  <c r="AT73" i="16"/>
  <c r="AP71" i="16"/>
  <c r="AN72" i="16"/>
  <c r="P191" i="16"/>
  <c r="R190" i="16"/>
  <c r="AH72" i="16"/>
  <c r="AJ71" i="16"/>
  <c r="AD73" i="16"/>
  <c r="AB74" i="16"/>
  <c r="V74" i="16"/>
  <c r="X74" i="16" s="1"/>
  <c r="D147" i="16"/>
  <c r="F146" i="16"/>
  <c r="CP74" i="16" l="1"/>
  <c r="CR73" i="16"/>
  <c r="CJ74" i="16"/>
  <c r="CL73" i="16"/>
  <c r="CD73" i="16"/>
  <c r="CF72" i="16"/>
  <c r="BX73" i="16"/>
  <c r="BZ72" i="16"/>
  <c r="BR73" i="16"/>
  <c r="BT72" i="16"/>
  <c r="BN71" i="16"/>
  <c r="BL72" i="16"/>
  <c r="BH73" i="16"/>
  <c r="BF74" i="16"/>
  <c r="AZ73" i="16"/>
  <c r="BB72" i="16"/>
  <c r="AV73" i="16"/>
  <c r="AT74" i="16"/>
  <c r="AN73" i="16"/>
  <c r="AP72" i="16"/>
  <c r="R191" i="16"/>
  <c r="P192" i="16"/>
  <c r="AH73" i="16"/>
  <c r="AJ72" i="16"/>
  <c r="AB75" i="16"/>
  <c r="AD74" i="16"/>
  <c r="V75" i="16"/>
  <c r="X75" i="16" s="1"/>
  <c r="F147" i="16"/>
  <c r="D148" i="16"/>
  <c r="F148" i="16" s="1"/>
  <c r="CR74" i="16" l="1"/>
  <c r="CP75" i="16"/>
  <c r="CL74" i="16"/>
  <c r="CJ75" i="16"/>
  <c r="CD74" i="16"/>
  <c r="CF73" i="16"/>
  <c r="BX74" i="16"/>
  <c r="BZ73" i="16"/>
  <c r="BR74" i="16"/>
  <c r="BT73" i="16"/>
  <c r="BL73" i="16"/>
  <c r="BN72" i="16"/>
  <c r="BH74" i="16"/>
  <c r="BF75" i="16"/>
  <c r="AZ74" i="16"/>
  <c r="BB73" i="16"/>
  <c r="AV74" i="16"/>
  <c r="AT75" i="16"/>
  <c r="AN74" i="16"/>
  <c r="AP73" i="16"/>
  <c r="R192" i="16"/>
  <c r="P193" i="16"/>
  <c r="AJ73" i="16"/>
  <c r="AH74" i="16"/>
  <c r="AB76" i="16"/>
  <c r="AD75" i="16"/>
  <c r="V76" i="16"/>
  <c r="X76" i="16" s="1"/>
  <c r="G6" i="2" a="1"/>
  <c r="G6" i="2" s="1"/>
  <c r="F8" i="2" a="1"/>
  <c r="F8" i="2" s="1"/>
  <c r="G7" i="2" a="1"/>
  <c r="G7" i="2" s="1"/>
  <c r="G8" i="2" a="1"/>
  <c r="G8" i="2" s="1"/>
  <c r="F6" i="2" a="1"/>
  <c r="F6" i="2" s="1"/>
  <c r="F5" i="2" a="1"/>
  <c r="F5" i="2" s="1"/>
  <c r="D14" i="6" s="1"/>
  <c r="F4" i="2" a="1"/>
  <c r="F4" i="2" s="1"/>
  <c r="F7" i="2" a="1"/>
  <c r="F7" i="2" s="1"/>
  <c r="G5" i="2" a="1"/>
  <c r="G5" i="2" s="1"/>
  <c r="D15" i="6" s="1"/>
  <c r="G4" i="2" a="1"/>
  <c r="G4" i="2" s="1"/>
  <c r="CP76" i="16" l="1"/>
  <c r="CR75" i="16"/>
  <c r="CL75" i="16"/>
  <c r="CJ76" i="16"/>
  <c r="CF74" i="16"/>
  <c r="CD75" i="16"/>
  <c r="BZ74" i="16"/>
  <c r="BX75" i="16"/>
  <c r="BT74" i="16"/>
  <c r="BR75" i="16"/>
  <c r="BN73" i="16"/>
  <c r="BL74" i="16"/>
  <c r="BF76" i="16"/>
  <c r="BH75" i="16"/>
  <c r="BB74" i="16"/>
  <c r="AZ75" i="16"/>
  <c r="AV75" i="16"/>
  <c r="AT76" i="16"/>
  <c r="AP74" i="16"/>
  <c r="AN75" i="16"/>
  <c r="P194" i="16"/>
  <c r="R193" i="16"/>
  <c r="AH75" i="16"/>
  <c r="AJ74" i="16"/>
  <c r="AD76" i="16"/>
  <c r="AB77" i="16"/>
  <c r="V77" i="16"/>
  <c r="X77" i="16" s="1"/>
  <c r="D22" i="14"/>
  <c r="D22" i="5"/>
  <c r="D22" i="12"/>
  <c r="D22" i="13"/>
  <c r="D21" i="14"/>
  <c r="D21" i="13"/>
  <c r="D21" i="5"/>
  <c r="D21" i="12"/>
  <c r="CP77" i="16" l="1"/>
  <c r="CR76" i="16"/>
  <c r="CJ77" i="16"/>
  <c r="CL76" i="16"/>
  <c r="CD76" i="16"/>
  <c r="CF75" i="16"/>
  <c r="BX76" i="16"/>
  <c r="BZ75" i="16"/>
  <c r="BR76" i="16"/>
  <c r="BT75" i="16"/>
  <c r="BN74" i="16"/>
  <c r="BL75" i="16"/>
  <c r="BH76" i="16"/>
  <c r="BF77" i="16"/>
  <c r="AZ76" i="16"/>
  <c r="BB75" i="16"/>
  <c r="AT77" i="16"/>
  <c r="AV76" i="16"/>
  <c r="AN76" i="16"/>
  <c r="AP75" i="16"/>
  <c r="R194" i="16"/>
  <c r="P195" i="16"/>
  <c r="AH76" i="16"/>
  <c r="AJ75" i="16"/>
  <c r="AB78" i="16"/>
  <c r="AD77" i="16"/>
  <c r="V78" i="16"/>
  <c r="X78" i="16" s="1"/>
  <c r="CR77" i="16" l="1"/>
  <c r="CP78" i="16"/>
  <c r="CL77" i="16"/>
  <c r="CJ78" i="16"/>
  <c r="CD77" i="16"/>
  <c r="CF76" i="16"/>
  <c r="BX77" i="16"/>
  <c r="BZ76" i="16"/>
  <c r="BR77" i="16"/>
  <c r="BT76" i="16"/>
  <c r="BL76" i="16"/>
  <c r="BN75" i="16"/>
  <c r="BH77" i="16"/>
  <c r="BF78" i="16"/>
  <c r="AZ77" i="16"/>
  <c r="BB76" i="16"/>
  <c r="AV77" i="16"/>
  <c r="AT78" i="16"/>
  <c r="AN77" i="16"/>
  <c r="AP76" i="16"/>
  <c r="R195" i="16"/>
  <c r="P196" i="16"/>
  <c r="AJ76" i="16"/>
  <c r="AH77" i="16"/>
  <c r="AB79" i="16"/>
  <c r="AD78" i="16"/>
  <c r="V79" i="16"/>
  <c r="X79" i="16" s="1"/>
  <c r="CR78" i="16" l="1"/>
  <c r="CP79" i="16"/>
  <c r="CJ79" i="16"/>
  <c r="CL78" i="16"/>
  <c r="CF77" i="16"/>
  <c r="CD78" i="16"/>
  <c r="BZ77" i="16"/>
  <c r="BX78" i="16"/>
  <c r="BT77" i="16"/>
  <c r="BR78" i="16"/>
  <c r="BN76" i="16"/>
  <c r="BL77" i="16"/>
  <c r="BF79" i="16"/>
  <c r="BH78" i="16"/>
  <c r="BB77" i="16"/>
  <c r="AZ78" i="16"/>
  <c r="AV78" i="16"/>
  <c r="AT79" i="16"/>
  <c r="AP77" i="16"/>
  <c r="AN78" i="16"/>
  <c r="P197" i="16"/>
  <c r="R196" i="16"/>
  <c r="AH78" i="16"/>
  <c r="AJ77" i="16"/>
  <c r="AD79" i="16"/>
  <c r="AB80" i="16"/>
  <c r="V80" i="16"/>
  <c r="X80" i="16" s="1"/>
  <c r="CP80" i="16" l="1"/>
  <c r="CR79" i="16"/>
  <c r="CJ80" i="16"/>
  <c r="CL79" i="16"/>
  <c r="CD79" i="16"/>
  <c r="CF78" i="16"/>
  <c r="BX79" i="16"/>
  <c r="BZ78" i="16"/>
  <c r="BR79" i="16"/>
  <c r="BT78" i="16"/>
  <c r="BN77" i="16"/>
  <c r="BL78" i="16"/>
  <c r="BF80" i="16"/>
  <c r="BH79" i="16"/>
  <c r="AZ79" i="16"/>
  <c r="BB78" i="16"/>
  <c r="AT80" i="16"/>
  <c r="AV79" i="16"/>
  <c r="AN79" i="16"/>
  <c r="AP78" i="16"/>
  <c r="R197" i="16"/>
  <c r="P198" i="16"/>
  <c r="AH79" i="16"/>
  <c r="AJ78" i="16"/>
  <c r="AB81" i="16"/>
  <c r="AD80" i="16"/>
  <c r="V81" i="16"/>
  <c r="X81" i="16" s="1"/>
  <c r="CR80" i="16" l="1"/>
  <c r="CP81" i="16"/>
  <c r="CL80" i="16"/>
  <c r="CJ81" i="16"/>
  <c r="CD80" i="16"/>
  <c r="CF79" i="16"/>
  <c r="BX80" i="16"/>
  <c r="BZ79" i="16"/>
  <c r="BR80" i="16"/>
  <c r="BT79" i="16"/>
  <c r="BL79" i="16"/>
  <c r="BN78" i="16"/>
  <c r="BH80" i="16"/>
  <c r="BF81" i="16"/>
  <c r="AZ80" i="16"/>
  <c r="BB79" i="16"/>
  <c r="AV80" i="16"/>
  <c r="AT81" i="16"/>
  <c r="AN80" i="16"/>
  <c r="AP79" i="16"/>
  <c r="R198" i="16"/>
  <c r="P199" i="16"/>
  <c r="AJ79" i="16"/>
  <c r="AH80" i="16"/>
  <c r="AB82" i="16"/>
  <c r="AD81" i="16"/>
  <c r="V82" i="16"/>
  <c r="X82" i="16" s="1"/>
  <c r="CR81" i="16" l="1"/>
  <c r="CP82" i="16"/>
  <c r="CL81" i="16"/>
  <c r="CJ82" i="16"/>
  <c r="CF80" i="16"/>
  <c r="CD81" i="16"/>
  <c r="BZ80" i="16"/>
  <c r="BX81" i="16"/>
  <c r="BT80" i="16"/>
  <c r="BR81" i="16"/>
  <c r="BN79" i="16"/>
  <c r="BL80" i="16"/>
  <c r="BF82" i="16"/>
  <c r="BH81" i="16"/>
  <c r="BB80" i="16"/>
  <c r="AZ81" i="16"/>
  <c r="AV81" i="16"/>
  <c r="AT82" i="16"/>
  <c r="AP80" i="16"/>
  <c r="AN81" i="16"/>
  <c r="P200" i="16"/>
  <c r="R199" i="16"/>
  <c r="AH81" i="16"/>
  <c r="AJ80" i="16"/>
  <c r="AD82" i="16"/>
  <c r="AB83" i="16"/>
  <c r="V83" i="16"/>
  <c r="X83" i="16" s="1"/>
  <c r="R200" i="16" l="1"/>
  <c r="P201" i="16"/>
  <c r="CP83" i="16"/>
  <c r="CR82" i="16"/>
  <c r="CJ83" i="16"/>
  <c r="CL82" i="16"/>
  <c r="CD82" i="16"/>
  <c r="CF81" i="16"/>
  <c r="BX82" i="16"/>
  <c r="BZ81" i="16"/>
  <c r="BR82" i="16"/>
  <c r="BT81" i="16"/>
  <c r="BN80" i="16"/>
  <c r="BL81" i="16"/>
  <c r="BF83" i="16"/>
  <c r="BH82" i="16"/>
  <c r="AZ82" i="16"/>
  <c r="BB81" i="16"/>
  <c r="AV82" i="16"/>
  <c r="AT83" i="16"/>
  <c r="AN82" i="16"/>
  <c r="AP81" i="16"/>
  <c r="AH82" i="16"/>
  <c r="AJ81" i="16"/>
  <c r="AB84" i="16"/>
  <c r="AD83" i="16"/>
  <c r="V84" i="16"/>
  <c r="X84" i="16" s="1"/>
  <c r="P202" i="16" l="1"/>
  <c r="R201" i="16"/>
  <c r="CR83" i="16"/>
  <c r="CP84" i="16"/>
  <c r="CL83" i="16"/>
  <c r="CJ84" i="16"/>
  <c r="CD83" i="16"/>
  <c r="CF82" i="16"/>
  <c r="BX83" i="16"/>
  <c r="BZ82" i="16"/>
  <c r="BR83" i="16"/>
  <c r="BT82" i="16"/>
  <c r="BL82" i="16"/>
  <c r="BN81" i="16"/>
  <c r="BH83" i="16"/>
  <c r="BF84" i="16"/>
  <c r="AZ83" i="16"/>
  <c r="BB82" i="16"/>
  <c r="AV83" i="16"/>
  <c r="AT84" i="16"/>
  <c r="AN83" i="16"/>
  <c r="AP82" i="16"/>
  <c r="AJ82" i="16"/>
  <c r="AH83" i="16"/>
  <c r="AB85" i="16"/>
  <c r="AD84" i="16"/>
  <c r="V85" i="16"/>
  <c r="X85" i="16" s="1"/>
  <c r="P203" i="16" l="1"/>
  <c r="R202" i="16"/>
  <c r="CP85" i="16"/>
  <c r="CR84" i="16"/>
  <c r="CJ85" i="16"/>
  <c r="CL84" i="16"/>
  <c r="CF83" i="16"/>
  <c r="CD84" i="16"/>
  <c r="BZ83" i="16"/>
  <c r="BX84" i="16"/>
  <c r="BT83" i="16"/>
  <c r="BR84" i="16"/>
  <c r="BN82" i="16"/>
  <c r="BL83" i="16"/>
  <c r="BF85" i="16"/>
  <c r="BH84" i="16"/>
  <c r="BB83" i="16"/>
  <c r="AZ84" i="16"/>
  <c r="AV84" i="16"/>
  <c r="AT85" i="16"/>
  <c r="AP83" i="16"/>
  <c r="AN84" i="16"/>
  <c r="AH84" i="16"/>
  <c r="AJ83" i="16"/>
  <c r="AD85" i="16"/>
  <c r="AB86" i="16"/>
  <c r="V86" i="16"/>
  <c r="X86" i="16" s="1"/>
  <c r="P204" i="16" l="1"/>
  <c r="R203" i="16"/>
  <c r="CP86" i="16"/>
  <c r="CR85" i="16"/>
  <c r="CJ86" i="16"/>
  <c r="CL85" i="16"/>
  <c r="CD85" i="16"/>
  <c r="CF84" i="16"/>
  <c r="BX85" i="16"/>
  <c r="BZ84" i="16"/>
  <c r="BR85" i="16"/>
  <c r="BT84" i="16"/>
  <c r="BN83" i="16"/>
  <c r="BL84" i="16"/>
  <c r="BH85" i="16"/>
  <c r="BF86" i="16"/>
  <c r="AZ85" i="16"/>
  <c r="BB84" i="16"/>
  <c r="AV85" i="16"/>
  <c r="AT86" i="16"/>
  <c r="AN85" i="16"/>
  <c r="AP84" i="16"/>
  <c r="AH85" i="16"/>
  <c r="AJ84" i="16"/>
  <c r="AB87" i="16"/>
  <c r="AD86" i="16"/>
  <c r="V87" i="16"/>
  <c r="X87" i="16" s="1"/>
  <c r="P205" i="16" l="1"/>
  <c r="R204" i="16"/>
  <c r="CR86" i="16"/>
  <c r="CP87" i="16"/>
  <c r="CL86" i="16"/>
  <c r="CJ87" i="16"/>
  <c r="CD86" i="16"/>
  <c r="CF85" i="16"/>
  <c r="BX86" i="16"/>
  <c r="BZ85" i="16"/>
  <c r="BR86" i="16"/>
  <c r="BT85" i="16"/>
  <c r="BL85" i="16"/>
  <c r="BN84" i="16"/>
  <c r="BH86" i="16"/>
  <c r="BF87" i="16"/>
  <c r="AZ86" i="16"/>
  <c r="BB85" i="16"/>
  <c r="AV86" i="16"/>
  <c r="AT87" i="16"/>
  <c r="AN86" i="16"/>
  <c r="AP85" i="16"/>
  <c r="AJ85" i="16"/>
  <c r="AH86" i="16"/>
  <c r="AB88" i="16"/>
  <c r="AD87" i="16"/>
  <c r="V88" i="16"/>
  <c r="X88" i="16" s="1"/>
  <c r="R205" i="16" l="1"/>
  <c r="P206" i="16"/>
  <c r="CR87" i="16"/>
  <c r="CP88" i="16"/>
  <c r="CL87" i="16"/>
  <c r="CJ88" i="16"/>
  <c r="CF86" i="16"/>
  <c r="CD87" i="16"/>
  <c r="BZ86" i="16"/>
  <c r="BX87" i="16"/>
  <c r="BT86" i="16"/>
  <c r="BR87" i="16"/>
  <c r="BN85" i="16"/>
  <c r="BL86" i="16"/>
  <c r="BF88" i="16"/>
  <c r="BH87" i="16"/>
  <c r="BB86" i="16"/>
  <c r="AZ87" i="16"/>
  <c r="AV87" i="16"/>
  <c r="AT88" i="16"/>
  <c r="AP86" i="16"/>
  <c r="AN87" i="16"/>
  <c r="AH87" i="16"/>
  <c r="AJ86" i="16"/>
  <c r="AD88" i="16"/>
  <c r="AB89" i="16"/>
  <c r="V89" i="16"/>
  <c r="X89" i="16" s="1"/>
  <c r="P207" i="16" l="1"/>
  <c r="R206" i="16"/>
  <c r="CP89" i="16"/>
  <c r="CR88" i="16"/>
  <c r="CJ89" i="16"/>
  <c r="CL88" i="16"/>
  <c r="CD88" i="16"/>
  <c r="CF87" i="16"/>
  <c r="BX88" i="16"/>
  <c r="BZ87" i="16"/>
  <c r="BR88" i="16"/>
  <c r="BT87" i="16"/>
  <c r="BN86" i="16"/>
  <c r="BL87" i="16"/>
  <c r="BF89" i="16"/>
  <c r="BH88" i="16"/>
  <c r="AZ88" i="16"/>
  <c r="BB87" i="16"/>
  <c r="AV88" i="16"/>
  <c r="AT89" i="16"/>
  <c r="AN88" i="16"/>
  <c r="AP87" i="16"/>
  <c r="AH88" i="16"/>
  <c r="AJ87" i="16"/>
  <c r="AB90" i="16"/>
  <c r="AD89" i="16"/>
  <c r="V90" i="16"/>
  <c r="X90" i="16" s="1"/>
  <c r="P208" i="16" l="1"/>
  <c r="R207" i="16"/>
  <c r="CR89" i="16"/>
  <c r="CP90" i="16"/>
  <c r="CL89" i="16"/>
  <c r="CJ90" i="16"/>
  <c r="CD89" i="16"/>
  <c r="CF88" i="16"/>
  <c r="BX89" i="16"/>
  <c r="BZ88" i="16"/>
  <c r="BR89" i="16"/>
  <c r="BT88" i="16"/>
  <c r="BL88" i="16"/>
  <c r="BN87" i="16"/>
  <c r="BH89" i="16"/>
  <c r="BF90" i="16"/>
  <c r="AZ89" i="16"/>
  <c r="BB88" i="16"/>
  <c r="AV89" i="16"/>
  <c r="AT90" i="16"/>
  <c r="AN89" i="16"/>
  <c r="AP88" i="16"/>
  <c r="AJ88" i="16"/>
  <c r="AH89" i="16"/>
  <c r="AB91" i="16"/>
  <c r="AD90" i="16"/>
  <c r="V91" i="16"/>
  <c r="X91" i="16" s="1"/>
  <c r="P209" i="16" l="1"/>
  <c r="R208" i="16"/>
  <c r="CP91" i="16"/>
  <c r="CR90" i="16"/>
  <c r="CL90" i="16"/>
  <c r="CJ91" i="16"/>
  <c r="CF89" i="16"/>
  <c r="CD90" i="16"/>
  <c r="BZ89" i="16"/>
  <c r="BX90" i="16"/>
  <c r="BT89" i="16"/>
  <c r="BR90" i="16"/>
  <c r="BN88" i="16"/>
  <c r="BL89" i="16"/>
  <c r="BF91" i="16"/>
  <c r="BH90" i="16"/>
  <c r="BB89" i="16"/>
  <c r="AZ90" i="16"/>
  <c r="AV90" i="16"/>
  <c r="AT91" i="16"/>
  <c r="AP89" i="16"/>
  <c r="AN90" i="16"/>
  <c r="AH90" i="16"/>
  <c r="AJ89" i="16"/>
  <c r="AD91" i="16"/>
  <c r="AB92" i="16"/>
  <c r="V92" i="16"/>
  <c r="X92" i="16" s="1"/>
  <c r="P210" i="16" l="1"/>
  <c r="R209" i="16"/>
  <c r="CP92" i="16"/>
  <c r="CR91" i="16"/>
  <c r="CJ92" i="16"/>
  <c r="CL91" i="16"/>
  <c r="CD91" i="16"/>
  <c r="CF90" i="16"/>
  <c r="BX91" i="16"/>
  <c r="BZ90" i="16"/>
  <c r="BR91" i="16"/>
  <c r="BT90" i="16"/>
  <c r="BN89" i="16"/>
  <c r="BL90" i="16"/>
  <c r="BF92" i="16"/>
  <c r="BH91" i="16"/>
  <c r="AZ91" i="16"/>
  <c r="BB90" i="16"/>
  <c r="AT92" i="16"/>
  <c r="AV91" i="16"/>
  <c r="AN91" i="16"/>
  <c r="AP90" i="16"/>
  <c r="AH91" i="16"/>
  <c r="AJ90" i="16"/>
  <c r="AB93" i="16"/>
  <c r="AD92" i="16"/>
  <c r="V93" i="16"/>
  <c r="X93" i="16" s="1"/>
  <c r="R210" i="16" l="1"/>
  <c r="P211" i="16"/>
  <c r="CR92" i="16"/>
  <c r="CP93" i="16"/>
  <c r="CL92" i="16"/>
  <c r="CJ93" i="16"/>
  <c r="CD92" i="16"/>
  <c r="CF91" i="16"/>
  <c r="BX92" i="16"/>
  <c r="BZ91" i="16"/>
  <c r="BR92" i="16"/>
  <c r="BT91" i="16"/>
  <c r="BL91" i="16"/>
  <c r="BN90" i="16"/>
  <c r="BH92" i="16"/>
  <c r="BF93" i="16"/>
  <c r="AZ92" i="16"/>
  <c r="BB91" i="16"/>
  <c r="AV92" i="16"/>
  <c r="AT93" i="16"/>
  <c r="AN92" i="16"/>
  <c r="AP91" i="16"/>
  <c r="AJ91" i="16"/>
  <c r="AH92" i="16"/>
  <c r="AB94" i="16"/>
  <c r="AD93" i="16"/>
  <c r="V94" i="16"/>
  <c r="X94" i="16" s="1"/>
  <c r="R211" i="16" l="1"/>
  <c r="P212" i="16"/>
  <c r="CR93" i="16"/>
  <c r="CP94" i="16"/>
  <c r="CL93" i="16"/>
  <c r="CJ94" i="16"/>
  <c r="CF92" i="16"/>
  <c r="CD93" i="16"/>
  <c r="BZ92" i="16"/>
  <c r="BX93" i="16"/>
  <c r="BT92" i="16"/>
  <c r="BR93" i="16"/>
  <c r="BN91" i="16"/>
  <c r="BL92" i="16"/>
  <c r="BF94" i="16"/>
  <c r="BH93" i="16"/>
  <c r="BB92" i="16"/>
  <c r="AZ93" i="16"/>
  <c r="AV93" i="16"/>
  <c r="AT94" i="16"/>
  <c r="AP92" i="16"/>
  <c r="AN93" i="16"/>
  <c r="AH93" i="16"/>
  <c r="AJ92" i="16"/>
  <c r="AD94" i="16"/>
  <c r="AB95" i="16"/>
  <c r="V95" i="16"/>
  <c r="X95" i="16" s="1"/>
  <c r="R212" i="16" l="1"/>
  <c r="P213" i="16"/>
  <c r="CP95" i="16"/>
  <c r="CR94" i="16"/>
  <c r="CJ95" i="16"/>
  <c r="CL94" i="16"/>
  <c r="CD94" i="16"/>
  <c r="CF93" i="16"/>
  <c r="BX94" i="16"/>
  <c r="BZ93" i="16"/>
  <c r="BR94" i="16"/>
  <c r="BT93" i="16"/>
  <c r="BN92" i="16"/>
  <c r="BL93" i="16"/>
  <c r="BH94" i="16"/>
  <c r="BF95" i="16"/>
  <c r="AZ94" i="16"/>
  <c r="BB93" i="16"/>
  <c r="AT95" i="16"/>
  <c r="AV94" i="16"/>
  <c r="AN94" i="16"/>
  <c r="AP93" i="16"/>
  <c r="AH94" i="16"/>
  <c r="AJ93" i="16"/>
  <c r="AB96" i="16"/>
  <c r="AD95" i="16"/>
  <c r="V96" i="16"/>
  <c r="X96" i="16" s="1"/>
  <c r="R213" i="16" l="1"/>
  <c r="P214" i="16"/>
  <c r="CR95" i="16"/>
  <c r="CP96" i="16"/>
  <c r="CL95" i="16"/>
  <c r="CJ96" i="16"/>
  <c r="CD95" i="16"/>
  <c r="CF94" i="16"/>
  <c r="BX95" i="16"/>
  <c r="BZ94" i="16"/>
  <c r="BR95" i="16"/>
  <c r="BT94" i="16"/>
  <c r="BL94" i="16"/>
  <c r="BN93" i="16"/>
  <c r="BH95" i="16"/>
  <c r="BF96" i="16"/>
  <c r="AZ95" i="16"/>
  <c r="BB94" i="16"/>
  <c r="AV95" i="16"/>
  <c r="AT96" i="16"/>
  <c r="AN95" i="16"/>
  <c r="AP94" i="16"/>
  <c r="AJ94" i="16"/>
  <c r="AH95" i="16"/>
  <c r="AB97" i="16"/>
  <c r="AD96" i="16"/>
  <c r="V97" i="16"/>
  <c r="X97" i="16" s="1"/>
  <c r="P215" i="16" l="1"/>
  <c r="R214" i="16"/>
  <c r="CR96" i="16"/>
  <c r="CP97" i="16"/>
  <c r="CJ97" i="16"/>
  <c r="CL96" i="16"/>
  <c r="CF95" i="16"/>
  <c r="CD96" i="16"/>
  <c r="BZ95" i="16"/>
  <c r="BX96" i="16"/>
  <c r="BT95" i="16"/>
  <c r="BR96" i="16"/>
  <c r="BL95" i="16"/>
  <c r="BN94" i="16"/>
  <c r="BF97" i="16"/>
  <c r="BH96" i="16"/>
  <c r="BB95" i="16"/>
  <c r="AZ96" i="16"/>
  <c r="AV96" i="16"/>
  <c r="AT97" i="16"/>
  <c r="AP95" i="16"/>
  <c r="AN96" i="16"/>
  <c r="AH96" i="16"/>
  <c r="AJ95" i="16"/>
  <c r="AD97" i="16"/>
  <c r="AB98" i="16"/>
  <c r="V98" i="16"/>
  <c r="X98" i="16" s="1"/>
  <c r="R215" i="16" l="1"/>
  <c r="P216" i="16"/>
  <c r="CP98" i="16"/>
  <c r="CR97" i="16"/>
  <c r="CJ98" i="16"/>
  <c r="CL97" i="16"/>
  <c r="CD97" i="16"/>
  <c r="CF96" i="16"/>
  <c r="BX97" i="16"/>
  <c r="BZ96" i="16"/>
  <c r="BR97" i="16"/>
  <c r="BT96" i="16"/>
  <c r="BN95" i="16"/>
  <c r="BL96" i="16"/>
  <c r="BF98" i="16"/>
  <c r="BH97" i="16"/>
  <c r="AZ97" i="16"/>
  <c r="BB96" i="16"/>
  <c r="AV97" i="16"/>
  <c r="AT98" i="16"/>
  <c r="AN97" i="16"/>
  <c r="AP96" i="16"/>
  <c r="AH97" i="16"/>
  <c r="AJ96" i="16"/>
  <c r="AB99" i="16"/>
  <c r="AD98" i="16"/>
  <c r="V99" i="16"/>
  <c r="X99" i="16" s="1"/>
  <c r="P217" i="16" l="1"/>
  <c r="R216" i="16"/>
  <c r="CR98" i="16"/>
  <c r="CP99" i="16"/>
  <c r="CL98" i="16"/>
  <c r="CJ99" i="16"/>
  <c r="CD98" i="16"/>
  <c r="CF97" i="16"/>
  <c r="BX98" i="16"/>
  <c r="BZ97" i="16"/>
  <c r="BR98" i="16"/>
  <c r="BT97" i="16"/>
  <c r="BL97" i="16"/>
  <c r="BN96" i="16"/>
  <c r="BH98" i="16"/>
  <c r="BF99" i="16"/>
  <c r="AZ98" i="16"/>
  <c r="BB97" i="16"/>
  <c r="AV98" i="16"/>
  <c r="AT99" i="16"/>
  <c r="AN98" i="16"/>
  <c r="AP97" i="16"/>
  <c r="AJ97" i="16"/>
  <c r="AH98" i="16"/>
  <c r="AB100" i="16"/>
  <c r="AD99" i="16"/>
  <c r="V100" i="16"/>
  <c r="X100" i="16" s="1"/>
  <c r="R217" i="16" l="1"/>
  <c r="P218" i="16"/>
  <c r="CP100" i="16"/>
  <c r="CR99" i="16"/>
  <c r="CL99" i="16"/>
  <c r="CJ100" i="16"/>
  <c r="CF98" i="16"/>
  <c r="CD99" i="16"/>
  <c r="BZ98" i="16"/>
  <c r="BX99" i="16"/>
  <c r="BT98" i="16"/>
  <c r="BR99" i="16"/>
  <c r="BL98" i="16"/>
  <c r="BN97" i="16"/>
  <c r="BF100" i="16"/>
  <c r="BH99" i="16"/>
  <c r="BB98" i="16"/>
  <c r="AZ99" i="16"/>
  <c r="AV99" i="16"/>
  <c r="AT100" i="16"/>
  <c r="AP98" i="16"/>
  <c r="AN99" i="16"/>
  <c r="AH99" i="16"/>
  <c r="AJ98" i="16"/>
  <c r="AD100" i="16"/>
  <c r="AB101" i="16"/>
  <c r="V101" i="16"/>
  <c r="X101" i="16" s="1"/>
  <c r="P219" i="16" l="1"/>
  <c r="R218" i="16"/>
  <c r="CP101" i="16"/>
  <c r="CR100" i="16"/>
  <c r="CJ101" i="16"/>
  <c r="CL100" i="16"/>
  <c r="CD100" i="16"/>
  <c r="CF99" i="16"/>
  <c r="BX100" i="16"/>
  <c r="BZ99" i="16"/>
  <c r="BR100" i="16"/>
  <c r="BT99" i="16"/>
  <c r="BN98" i="16"/>
  <c r="BL99" i="16"/>
  <c r="BF101" i="16"/>
  <c r="BH100" i="16"/>
  <c r="AZ100" i="16"/>
  <c r="BB99" i="16"/>
  <c r="AV100" i="16"/>
  <c r="AT101" i="16"/>
  <c r="AN100" i="16"/>
  <c r="AP99" i="16"/>
  <c r="AH100" i="16"/>
  <c r="AJ99" i="16"/>
  <c r="AB102" i="16"/>
  <c r="AD101" i="16"/>
  <c r="V102" i="16"/>
  <c r="X102" i="16" s="1"/>
  <c r="R219" i="16" l="1"/>
  <c r="P220" i="16"/>
  <c r="CR101" i="16"/>
  <c r="CP102" i="16"/>
  <c r="CL101" i="16"/>
  <c r="CJ102" i="16"/>
  <c r="CD101" i="16"/>
  <c r="CF100" i="16"/>
  <c r="BX101" i="16"/>
  <c r="BZ100" i="16"/>
  <c r="BR101" i="16"/>
  <c r="BT100" i="16"/>
  <c r="BL100" i="16"/>
  <c r="BN99" i="16"/>
  <c r="BH101" i="16"/>
  <c r="BF102" i="16"/>
  <c r="AZ101" i="16"/>
  <c r="BB100" i="16"/>
  <c r="AV101" i="16"/>
  <c r="AT102" i="16"/>
  <c r="AN101" i="16"/>
  <c r="AP100" i="16"/>
  <c r="AJ100" i="16"/>
  <c r="AH101" i="16"/>
  <c r="AB103" i="16"/>
  <c r="AD102" i="16"/>
  <c r="V103" i="16"/>
  <c r="X103" i="16" s="1"/>
  <c r="P221" i="16" l="1"/>
  <c r="R220" i="16"/>
  <c r="CR102" i="16"/>
  <c r="CP103" i="16"/>
  <c r="CL102" i="16"/>
  <c r="CJ103" i="16"/>
  <c r="CF101" i="16"/>
  <c r="CD102" i="16"/>
  <c r="BZ101" i="16"/>
  <c r="BX102" i="16"/>
  <c r="BT101" i="16"/>
  <c r="BR102" i="16"/>
  <c r="BL101" i="16"/>
  <c r="BN100" i="16"/>
  <c r="BF103" i="16"/>
  <c r="BH102" i="16"/>
  <c r="BB101" i="16"/>
  <c r="AZ102" i="16"/>
  <c r="AT103" i="16"/>
  <c r="AV102" i="16"/>
  <c r="AP101" i="16"/>
  <c r="AN102" i="16"/>
  <c r="AH102" i="16"/>
  <c r="AJ101" i="16"/>
  <c r="AD103" i="16"/>
  <c r="AB104" i="16"/>
  <c r="V104" i="16"/>
  <c r="X104" i="16" s="1"/>
  <c r="P222" i="16" l="1"/>
  <c r="R221" i="16"/>
  <c r="CP104" i="16"/>
  <c r="CR103" i="16"/>
  <c r="CJ104" i="16"/>
  <c r="CL103" i="16"/>
  <c r="CD103" i="16"/>
  <c r="CF102" i="16"/>
  <c r="BX103" i="16"/>
  <c r="BZ102" i="16"/>
  <c r="BR103" i="16"/>
  <c r="BT102" i="16"/>
  <c r="BN101" i="16"/>
  <c r="BL102" i="16"/>
  <c r="BH103" i="16"/>
  <c r="BF104" i="16"/>
  <c r="AZ103" i="16"/>
  <c r="BB102" i="16"/>
  <c r="AV103" i="16"/>
  <c r="AT104" i="16"/>
  <c r="AN103" i="16"/>
  <c r="AP102" i="16"/>
  <c r="AH103" i="16"/>
  <c r="AJ102" i="16"/>
  <c r="AB105" i="16"/>
  <c r="AD104" i="16"/>
  <c r="V105" i="16"/>
  <c r="X105" i="16" s="1"/>
  <c r="R222" i="16" l="1"/>
  <c r="P223" i="16"/>
  <c r="CR104" i="16"/>
  <c r="CP105" i="16"/>
  <c r="CL104" i="16"/>
  <c r="CJ105" i="16"/>
  <c r="CD104" i="16"/>
  <c r="CF103" i="16"/>
  <c r="BX104" i="16"/>
  <c r="BZ103" i="16"/>
  <c r="BR104" i="16"/>
  <c r="BT103" i="16"/>
  <c r="BL103" i="16"/>
  <c r="BN102" i="16"/>
  <c r="BH104" i="16"/>
  <c r="BF105" i="16"/>
  <c r="AZ104" i="16"/>
  <c r="BB103" i="16"/>
  <c r="AV104" i="16"/>
  <c r="AT105" i="16"/>
  <c r="AN104" i="16"/>
  <c r="AP103" i="16"/>
  <c r="AJ103" i="16"/>
  <c r="AH104" i="16"/>
  <c r="AB106" i="16"/>
  <c r="AD105" i="16"/>
  <c r="V106" i="16"/>
  <c r="X106" i="16" s="1"/>
  <c r="P224" i="16" l="1"/>
  <c r="R223" i="16"/>
  <c r="CR105" i="16"/>
  <c r="CP106" i="16"/>
  <c r="CL105" i="16"/>
  <c r="CJ106" i="16"/>
  <c r="CF104" i="16"/>
  <c r="CD105" i="16"/>
  <c r="BZ104" i="16"/>
  <c r="BX105" i="16"/>
  <c r="BT104" i="16"/>
  <c r="BR105" i="16"/>
  <c r="BL104" i="16"/>
  <c r="BN103" i="16"/>
  <c r="BF106" i="16"/>
  <c r="BH105" i="16"/>
  <c r="BB104" i="16"/>
  <c r="AZ105" i="16"/>
  <c r="AT106" i="16"/>
  <c r="AV105" i="16"/>
  <c r="AP104" i="16"/>
  <c r="AN105" i="16"/>
  <c r="AH105" i="16"/>
  <c r="AJ104" i="16"/>
  <c r="AD106" i="16"/>
  <c r="AB107" i="16"/>
  <c r="V107" i="16"/>
  <c r="X107" i="16" s="1"/>
  <c r="P225" i="16" l="1"/>
  <c r="R224" i="16"/>
  <c r="CP107" i="16"/>
  <c r="CR106" i="16"/>
  <c r="CJ107" i="16"/>
  <c r="CL106" i="16"/>
  <c r="CD106" i="16"/>
  <c r="CF105" i="16"/>
  <c r="BX106" i="16"/>
  <c r="BZ105" i="16"/>
  <c r="BR106" i="16"/>
  <c r="BT105" i="16"/>
  <c r="BN104" i="16"/>
  <c r="BL105" i="16"/>
  <c r="BF107" i="16"/>
  <c r="BH106" i="16"/>
  <c r="BB105" i="16"/>
  <c r="AZ106" i="16"/>
  <c r="AT107" i="16"/>
  <c r="AV106" i="16"/>
  <c r="AN106" i="16"/>
  <c r="AP105" i="16"/>
  <c r="AH106" i="16"/>
  <c r="AJ105" i="16"/>
  <c r="AB108" i="16"/>
  <c r="AD107" i="16"/>
  <c r="V108" i="16"/>
  <c r="X108" i="16" s="1"/>
  <c r="R225" i="16" l="1"/>
  <c r="P226" i="16"/>
  <c r="CR107" i="16"/>
  <c r="CP108" i="16"/>
  <c r="CL107" i="16"/>
  <c r="CJ108" i="16"/>
  <c r="CD107" i="16"/>
  <c r="CF106" i="16"/>
  <c r="BX107" i="16"/>
  <c r="BZ106" i="16"/>
  <c r="BR107" i="16"/>
  <c r="BT106" i="16"/>
  <c r="BL106" i="16"/>
  <c r="BN105" i="16"/>
  <c r="BH107" i="16"/>
  <c r="BF108" i="16"/>
  <c r="AZ107" i="16"/>
  <c r="BB106" i="16"/>
  <c r="AV107" i="16"/>
  <c r="AT108" i="16"/>
  <c r="AN107" i="16"/>
  <c r="AP106" i="16"/>
  <c r="AJ106" i="16"/>
  <c r="AH107" i="16"/>
  <c r="AB109" i="16"/>
  <c r="AD108" i="16"/>
  <c r="V109" i="16"/>
  <c r="X109" i="16" s="1"/>
  <c r="P227" i="16" l="1"/>
  <c r="R226" i="16"/>
  <c r="CR108" i="16"/>
  <c r="CP109" i="16"/>
  <c r="CJ109" i="16"/>
  <c r="CL108" i="16"/>
  <c r="CF107" i="16"/>
  <c r="CD108" i="16"/>
  <c r="BZ107" i="16"/>
  <c r="BX108" i="16"/>
  <c r="BT107" i="16"/>
  <c r="BR108" i="16"/>
  <c r="BL107" i="16"/>
  <c r="BN106" i="16"/>
  <c r="BF109" i="16"/>
  <c r="BH108" i="16"/>
  <c r="BB107" i="16"/>
  <c r="AZ108" i="16"/>
  <c r="AT109" i="16"/>
  <c r="AV108" i="16"/>
  <c r="AP107" i="16"/>
  <c r="AN108" i="16"/>
  <c r="AH108" i="16"/>
  <c r="AJ107" i="16"/>
  <c r="AD109" i="16"/>
  <c r="AB110" i="16"/>
  <c r="V110" i="16"/>
  <c r="X110" i="16" s="1"/>
  <c r="P228" i="16" l="1"/>
  <c r="R227" i="16"/>
  <c r="CP110" i="16"/>
  <c r="CR109" i="16"/>
  <c r="CJ110" i="16"/>
  <c r="CL109" i="16"/>
  <c r="CD109" i="16"/>
  <c r="CF108" i="16"/>
  <c r="BX109" i="16"/>
  <c r="BZ108" i="16"/>
  <c r="BR109" i="16"/>
  <c r="BT108" i="16"/>
  <c r="BN107" i="16"/>
  <c r="BL108" i="16"/>
  <c r="BF110" i="16"/>
  <c r="BH109" i="16"/>
  <c r="AZ109" i="16"/>
  <c r="BB108" i="16"/>
  <c r="AT110" i="16"/>
  <c r="AV109" i="16"/>
  <c r="AN109" i="16"/>
  <c r="AP108" i="16"/>
  <c r="AH109" i="16"/>
  <c r="AJ108" i="16"/>
  <c r="AB111" i="16"/>
  <c r="AD110" i="16"/>
  <c r="V111" i="16"/>
  <c r="X111" i="16" s="1"/>
  <c r="R228" i="16" l="1"/>
  <c r="P229" i="16"/>
  <c r="CR110" i="16"/>
  <c r="CP111" i="16"/>
  <c r="CL110" i="16"/>
  <c r="CJ111" i="16"/>
  <c r="CD110" i="16"/>
  <c r="CF109" i="16"/>
  <c r="BX110" i="16"/>
  <c r="BZ109" i="16"/>
  <c r="BR110" i="16"/>
  <c r="BT109" i="16"/>
  <c r="BL109" i="16"/>
  <c r="BN108" i="16"/>
  <c r="BH110" i="16"/>
  <c r="BF111" i="16"/>
  <c r="AZ110" i="16"/>
  <c r="BB109" i="16"/>
  <c r="AV110" i="16"/>
  <c r="AT111" i="16"/>
  <c r="AN110" i="16"/>
  <c r="AP109" i="16"/>
  <c r="AJ109" i="16"/>
  <c r="AH110" i="16"/>
  <c r="AB112" i="16"/>
  <c r="AD111" i="16"/>
  <c r="V112" i="16"/>
  <c r="X112" i="16" s="1"/>
  <c r="P230" i="16" l="1"/>
  <c r="R230" i="16" s="1"/>
  <c r="H30" i="4" s="1" a="1"/>
  <c r="H30" i="4" s="1"/>
  <c r="R229" i="16"/>
  <c r="H32" i="4" s="1" a="1"/>
  <c r="H32" i="4" s="1"/>
  <c r="G29" i="4" a="1"/>
  <c r="G29" i="4" s="1"/>
  <c r="G27" i="4" a="1"/>
  <c r="G27" i="4" s="1"/>
  <c r="H28" i="4" a="1"/>
  <c r="H28" i="4" s="1"/>
  <c r="G28" i="4" a="1"/>
  <c r="G28" i="4" s="1"/>
  <c r="G31" i="4" a="1"/>
  <c r="G31" i="4" s="1"/>
  <c r="H29" i="4" a="1"/>
  <c r="H29" i="4" s="1"/>
  <c r="CP112" i="16"/>
  <c r="CR111" i="16"/>
  <c r="CL111" i="16"/>
  <c r="CJ112" i="16"/>
  <c r="CD111" i="16"/>
  <c r="CF110" i="16"/>
  <c r="BZ110" i="16"/>
  <c r="BX111" i="16"/>
  <c r="BT110" i="16"/>
  <c r="BR111" i="16"/>
  <c r="BL110" i="16"/>
  <c r="BN109" i="16"/>
  <c r="BF112" i="16"/>
  <c r="BH111" i="16"/>
  <c r="BB110" i="16"/>
  <c r="AZ111" i="16"/>
  <c r="AT112" i="16"/>
  <c r="AV111" i="16"/>
  <c r="AP110" i="16"/>
  <c r="AN111" i="16"/>
  <c r="AH111" i="16"/>
  <c r="AJ110" i="16"/>
  <c r="AD112" i="16"/>
  <c r="AB113" i="16"/>
  <c r="V113" i="16"/>
  <c r="X113" i="16" s="1"/>
  <c r="H31" i="4" l="1" a="1"/>
  <c r="H31" i="4" s="1"/>
  <c r="G30" i="4" a="1"/>
  <c r="G30" i="4" s="1"/>
  <c r="H27" i="4" a="1"/>
  <c r="H27" i="4" s="1"/>
  <c r="G32" i="4" a="1"/>
  <c r="G32" i="4" s="1"/>
  <c r="CP113" i="16"/>
  <c r="CR112" i="16"/>
  <c r="CJ113" i="16"/>
  <c r="CL112" i="16"/>
  <c r="CD112" i="16"/>
  <c r="CF111" i="16"/>
  <c r="BX112" i="16"/>
  <c r="BZ111" i="16"/>
  <c r="BR112" i="16"/>
  <c r="BT111" i="16"/>
  <c r="BN110" i="16"/>
  <c r="BL111" i="16"/>
  <c r="BF113" i="16"/>
  <c r="BH112" i="16"/>
  <c r="BB111" i="16"/>
  <c r="AZ112" i="16"/>
  <c r="AV112" i="16"/>
  <c r="AT113" i="16"/>
  <c r="AN112" i="16"/>
  <c r="AP111" i="16"/>
  <c r="AH112" i="16"/>
  <c r="AJ111" i="16"/>
  <c r="AB114" i="16"/>
  <c r="AD113" i="16"/>
  <c r="V114" i="16"/>
  <c r="X114" i="16" s="1"/>
  <c r="CR113" i="16" l="1"/>
  <c r="CP114" i="16"/>
  <c r="CL113" i="16"/>
  <c r="CJ114" i="16"/>
  <c r="CD113" i="16"/>
  <c r="CF112" i="16"/>
  <c r="BX113" i="16"/>
  <c r="BZ112" i="16"/>
  <c r="BR113" i="16"/>
  <c r="BT112" i="16"/>
  <c r="BL112" i="16"/>
  <c r="BN111" i="16"/>
  <c r="BH113" i="16"/>
  <c r="BF114" i="16"/>
  <c r="AZ113" i="16"/>
  <c r="BB112" i="16"/>
  <c r="AV113" i="16"/>
  <c r="AT114" i="16"/>
  <c r="AN113" i="16"/>
  <c r="AP112" i="16"/>
  <c r="AJ112" i="16"/>
  <c r="AH113" i="16"/>
  <c r="AB115" i="16"/>
  <c r="AD114" i="16"/>
  <c r="V115" i="16"/>
  <c r="X115" i="16" s="1"/>
  <c r="CP115" i="16" l="1"/>
  <c r="CR114" i="16"/>
  <c r="CL114" i="16"/>
  <c r="CJ115" i="16"/>
  <c r="CF113" i="16"/>
  <c r="CD114" i="16"/>
  <c r="BZ113" i="16"/>
  <c r="BX114" i="16"/>
  <c r="BT113" i="16"/>
  <c r="BR114" i="16"/>
  <c r="BL113" i="16"/>
  <c r="BN112" i="16"/>
  <c r="BF115" i="16"/>
  <c r="BH114" i="16"/>
  <c r="BB113" i="16"/>
  <c r="AZ114" i="16"/>
  <c r="AT115" i="16"/>
  <c r="AV114" i="16"/>
  <c r="AP113" i="16"/>
  <c r="AN114" i="16"/>
  <c r="AH114" i="16"/>
  <c r="AJ113" i="16"/>
  <c r="AD115" i="16"/>
  <c r="AB116" i="16"/>
  <c r="V116" i="16"/>
  <c r="X116" i="16" s="1"/>
  <c r="CP116" i="16" l="1"/>
  <c r="CR115" i="16"/>
  <c r="CJ116" i="16"/>
  <c r="CL115" i="16"/>
  <c r="CD115" i="16"/>
  <c r="CF114" i="16"/>
  <c r="BX115" i="16"/>
  <c r="BZ114" i="16"/>
  <c r="BR115" i="16"/>
  <c r="BT114" i="16"/>
  <c r="BN113" i="16"/>
  <c r="BL114" i="16"/>
  <c r="BF116" i="16"/>
  <c r="BH115" i="16"/>
  <c r="AZ115" i="16"/>
  <c r="BB114" i="16"/>
  <c r="AV115" i="16"/>
  <c r="AT116" i="16"/>
  <c r="AN115" i="16"/>
  <c r="AP114" i="16"/>
  <c r="AH115" i="16"/>
  <c r="AJ114" i="16"/>
  <c r="AB117" i="16"/>
  <c r="AD116" i="16"/>
  <c r="V117" i="16"/>
  <c r="X117" i="16" s="1"/>
  <c r="CR116" i="16" l="1"/>
  <c r="CP117" i="16"/>
  <c r="CL116" i="16"/>
  <c r="CJ117" i="16"/>
  <c r="CD116" i="16"/>
  <c r="CF115" i="16"/>
  <c r="BX116" i="16"/>
  <c r="BZ115" i="16"/>
  <c r="BR116" i="16"/>
  <c r="BT115" i="16"/>
  <c r="BL115" i="16"/>
  <c r="BN114" i="16"/>
  <c r="BH116" i="16"/>
  <c r="BF117" i="16"/>
  <c r="AZ116" i="16"/>
  <c r="BB115" i="16"/>
  <c r="AV116" i="16"/>
  <c r="AT117" i="16"/>
  <c r="AN116" i="16"/>
  <c r="AP115" i="16"/>
  <c r="AJ115" i="16"/>
  <c r="AH116" i="16"/>
  <c r="AB118" i="16"/>
  <c r="AD117" i="16"/>
  <c r="V118" i="16"/>
  <c r="X118" i="16" s="1"/>
  <c r="CR117" i="16" l="1"/>
  <c r="CP118" i="16"/>
  <c r="CL117" i="16"/>
  <c r="CJ118" i="16"/>
  <c r="CF116" i="16"/>
  <c r="CD117" i="16"/>
  <c r="BZ116" i="16"/>
  <c r="BX117" i="16"/>
  <c r="BT116" i="16"/>
  <c r="BR117" i="16"/>
  <c r="BL116" i="16"/>
  <c r="BN115" i="16"/>
  <c r="BF118" i="16"/>
  <c r="BH117" i="16"/>
  <c r="BB116" i="16"/>
  <c r="AZ117" i="16"/>
  <c r="AT118" i="16"/>
  <c r="AV117" i="16"/>
  <c r="AP116" i="16"/>
  <c r="AN117" i="16"/>
  <c r="AH117" i="16"/>
  <c r="AJ116" i="16"/>
  <c r="AD118" i="16"/>
  <c r="AB119" i="16"/>
  <c r="V119" i="16"/>
  <c r="X119" i="16" s="1"/>
  <c r="CP119" i="16" l="1"/>
  <c r="CR118" i="16"/>
  <c r="CJ119" i="16"/>
  <c r="CL118" i="16"/>
  <c r="CD118" i="16"/>
  <c r="CF117" i="16"/>
  <c r="BX118" i="16"/>
  <c r="BZ117" i="16"/>
  <c r="BR118" i="16"/>
  <c r="BT117" i="16"/>
  <c r="BN116" i="16"/>
  <c r="BL117" i="16"/>
  <c r="BF119" i="16"/>
  <c r="BH118" i="16"/>
  <c r="BB117" i="16"/>
  <c r="AZ118" i="16"/>
  <c r="AV118" i="16"/>
  <c r="AT119" i="16"/>
  <c r="AN118" i="16"/>
  <c r="AP117" i="16"/>
  <c r="AH118" i="16"/>
  <c r="AJ117" i="16"/>
  <c r="AB120" i="16"/>
  <c r="AD119" i="16"/>
  <c r="V120" i="16"/>
  <c r="X120" i="16" s="1"/>
  <c r="CR119" i="16" l="1"/>
  <c r="CP120" i="16"/>
  <c r="CL119" i="16"/>
  <c r="CJ120" i="16"/>
  <c r="CD119" i="16"/>
  <c r="CF118" i="16"/>
  <c r="BX119" i="16"/>
  <c r="BZ118" i="16"/>
  <c r="BR119" i="16"/>
  <c r="BT118" i="16"/>
  <c r="BL118" i="16"/>
  <c r="BN117" i="16"/>
  <c r="BH119" i="16"/>
  <c r="BF120" i="16"/>
  <c r="AZ119" i="16"/>
  <c r="BB118" i="16"/>
  <c r="AV119" i="16"/>
  <c r="AT120" i="16"/>
  <c r="AN119" i="16"/>
  <c r="AP118" i="16"/>
  <c r="AJ118" i="16"/>
  <c r="AH119" i="16"/>
  <c r="AB121" i="16"/>
  <c r="AD120" i="16"/>
  <c r="V121" i="16"/>
  <c r="X121" i="16" s="1"/>
  <c r="CR120" i="16" l="1"/>
  <c r="CP121" i="16"/>
  <c r="CJ121" i="16"/>
  <c r="CL120" i="16"/>
  <c r="CF119" i="16"/>
  <c r="CD120" i="16"/>
  <c r="BZ119" i="16"/>
  <c r="BX120" i="16"/>
  <c r="BT119" i="16"/>
  <c r="BR120" i="16"/>
  <c r="BL119" i="16"/>
  <c r="BN118" i="16"/>
  <c r="BF121" i="16"/>
  <c r="BH120" i="16"/>
  <c r="BB119" i="16"/>
  <c r="AZ120" i="16"/>
  <c r="AT121" i="16"/>
  <c r="AV120" i="16"/>
  <c r="AP119" i="16"/>
  <c r="AN120" i="16"/>
  <c r="AH120" i="16"/>
  <c r="AJ119" i="16"/>
  <c r="AD121" i="16"/>
  <c r="AB122" i="16"/>
  <c r="V122" i="16"/>
  <c r="X122" i="16" s="1"/>
  <c r="CP122" i="16" l="1"/>
  <c r="CR121" i="16"/>
  <c r="CJ122" i="16"/>
  <c r="CL121" i="16"/>
  <c r="CD121" i="16"/>
  <c r="CF120" i="16"/>
  <c r="BX121" i="16"/>
  <c r="BZ120" i="16"/>
  <c r="BR121" i="16"/>
  <c r="BT120" i="16"/>
  <c r="BN119" i="16"/>
  <c r="BL120" i="16"/>
  <c r="BF122" i="16"/>
  <c r="BH121" i="16"/>
  <c r="BB120" i="16"/>
  <c r="AZ121" i="16"/>
  <c r="AV121" i="16"/>
  <c r="AT122" i="16"/>
  <c r="AN121" i="16"/>
  <c r="AP120" i="16"/>
  <c r="AH121" i="16"/>
  <c r="AJ120" i="16"/>
  <c r="AB123" i="16"/>
  <c r="AD122" i="16"/>
  <c r="V123" i="16"/>
  <c r="X123" i="16" s="1"/>
  <c r="CR122" i="16" l="1"/>
  <c r="CP123" i="16"/>
  <c r="CL122" i="16"/>
  <c r="CJ123" i="16"/>
  <c r="CD122" i="16"/>
  <c r="CF121" i="16"/>
  <c r="BX122" i="16"/>
  <c r="BZ121" i="16"/>
  <c r="BR122" i="16"/>
  <c r="BT121" i="16"/>
  <c r="BL121" i="16"/>
  <c r="BN120" i="16"/>
  <c r="BH122" i="16"/>
  <c r="BF123" i="16"/>
  <c r="AZ122" i="16"/>
  <c r="BB121" i="16"/>
  <c r="AV122" i="16"/>
  <c r="AT123" i="16"/>
  <c r="AN122" i="16"/>
  <c r="AP121" i="16"/>
  <c r="AJ121" i="16"/>
  <c r="AH122" i="16"/>
  <c r="AB124" i="16"/>
  <c r="AD123" i="16"/>
  <c r="V124" i="16"/>
  <c r="X124" i="16" s="1"/>
  <c r="CR123" i="16" l="1"/>
  <c r="CP124" i="16"/>
  <c r="CL123" i="16"/>
  <c r="CJ124" i="16"/>
  <c r="CF122" i="16"/>
  <c r="CD123" i="16"/>
  <c r="BZ122" i="16"/>
  <c r="BX123" i="16"/>
  <c r="BT122" i="16"/>
  <c r="BR123" i="16"/>
  <c r="BL122" i="16"/>
  <c r="BN121" i="16"/>
  <c r="BF124" i="16"/>
  <c r="BH123" i="16"/>
  <c r="BB122" i="16"/>
  <c r="AZ123" i="16"/>
  <c r="AT124" i="16"/>
  <c r="AV123" i="16"/>
  <c r="AP122" i="16"/>
  <c r="AN123" i="16"/>
  <c r="AH123" i="16"/>
  <c r="AJ122" i="16"/>
  <c r="AD124" i="16"/>
  <c r="AB125" i="16"/>
  <c r="V125" i="16"/>
  <c r="X125" i="16" s="1"/>
  <c r="CP125" i="16" l="1"/>
  <c r="CR124" i="16"/>
  <c r="CJ125" i="16"/>
  <c r="CL124" i="16"/>
  <c r="CD124" i="16"/>
  <c r="CF123" i="16"/>
  <c r="BX124" i="16"/>
  <c r="BZ123" i="16"/>
  <c r="BR124" i="16"/>
  <c r="BT123" i="16"/>
  <c r="BN122" i="16"/>
  <c r="BL123" i="16"/>
  <c r="BF125" i="16"/>
  <c r="BH124" i="16"/>
  <c r="AZ124" i="16"/>
  <c r="BB123" i="16"/>
  <c r="AV124" i="16"/>
  <c r="AT125" i="16"/>
  <c r="AN124" i="16"/>
  <c r="AP123" i="16"/>
  <c r="AH124" i="16"/>
  <c r="AJ123" i="16"/>
  <c r="AB126" i="16"/>
  <c r="AD125" i="16"/>
  <c r="V126" i="16"/>
  <c r="X126" i="16" s="1"/>
  <c r="CR125" i="16" l="1"/>
  <c r="CP126" i="16"/>
  <c r="CL125" i="16"/>
  <c r="CJ126" i="16"/>
  <c r="CD125" i="16"/>
  <c r="CF124" i="16"/>
  <c r="BX125" i="16"/>
  <c r="BZ124" i="16"/>
  <c r="BR125" i="16"/>
  <c r="BT124" i="16"/>
  <c r="BL124" i="16"/>
  <c r="BN123" i="16"/>
  <c r="BH125" i="16"/>
  <c r="BF126" i="16"/>
  <c r="AZ125" i="16"/>
  <c r="BB124" i="16"/>
  <c r="AV125" i="16"/>
  <c r="AT126" i="16"/>
  <c r="AN125" i="16"/>
  <c r="AP124" i="16"/>
  <c r="AJ124" i="16"/>
  <c r="AH125" i="16"/>
  <c r="AB127" i="16"/>
  <c r="AD126" i="16"/>
  <c r="V127" i="16"/>
  <c r="X127" i="16" s="1"/>
  <c r="CP127" i="16" l="1"/>
  <c r="CR126" i="16"/>
  <c r="CJ127" i="16"/>
  <c r="CL126" i="16"/>
  <c r="CF125" i="16"/>
  <c r="CD126" i="16"/>
  <c r="BZ125" i="16"/>
  <c r="BX126" i="16"/>
  <c r="BT125" i="16"/>
  <c r="BR126" i="16"/>
  <c r="BL125" i="16"/>
  <c r="BN124" i="16"/>
  <c r="BF127" i="16"/>
  <c r="BH126" i="16"/>
  <c r="BB125" i="16"/>
  <c r="AZ126" i="16"/>
  <c r="AT127" i="16"/>
  <c r="AV126" i="16"/>
  <c r="AP125" i="16"/>
  <c r="AN126" i="16"/>
  <c r="AH126" i="16"/>
  <c r="AJ125" i="16"/>
  <c r="AD127" i="16"/>
  <c r="AB128" i="16"/>
  <c r="V128" i="16"/>
  <c r="X128" i="16" s="1"/>
  <c r="CP128" i="16" l="1"/>
  <c r="CR127" i="16"/>
  <c r="CJ128" i="16"/>
  <c r="CL127" i="16"/>
  <c r="CD127" i="16"/>
  <c r="CF126" i="16"/>
  <c r="BX127" i="16"/>
  <c r="BZ126" i="16"/>
  <c r="BR127" i="16"/>
  <c r="BT126" i="16"/>
  <c r="BN125" i="16"/>
  <c r="BL126" i="16"/>
  <c r="BF128" i="16"/>
  <c r="BH127" i="16"/>
  <c r="BB126" i="16"/>
  <c r="AZ127" i="16"/>
  <c r="AT128" i="16"/>
  <c r="AV127" i="16"/>
  <c r="AN127" i="16"/>
  <c r="AP126" i="16"/>
  <c r="AH127" i="16"/>
  <c r="AJ126" i="16"/>
  <c r="AB129" i="16"/>
  <c r="AD128" i="16"/>
  <c r="V129" i="16"/>
  <c r="X129" i="16" s="1"/>
  <c r="CR128" i="16" l="1"/>
  <c r="CP129" i="16"/>
  <c r="CL128" i="16"/>
  <c r="CJ129" i="16"/>
  <c r="CD128" i="16"/>
  <c r="CF127" i="16"/>
  <c r="BX128" i="16"/>
  <c r="BZ127" i="16"/>
  <c r="BR128" i="16"/>
  <c r="BT127" i="16"/>
  <c r="BL127" i="16"/>
  <c r="BN126" i="16"/>
  <c r="BH128" i="16"/>
  <c r="BF129" i="16"/>
  <c r="AZ128" i="16"/>
  <c r="BB127" i="16"/>
  <c r="AV128" i="16"/>
  <c r="AT129" i="16"/>
  <c r="AN128" i="16"/>
  <c r="AP127" i="16"/>
  <c r="AJ127" i="16"/>
  <c r="AH128" i="16"/>
  <c r="AB130" i="16"/>
  <c r="AD129" i="16"/>
  <c r="V130" i="16"/>
  <c r="X130" i="16" s="1"/>
  <c r="CR129" i="16" l="1"/>
  <c r="CP130" i="16"/>
  <c r="CL129" i="16"/>
  <c r="CJ130" i="16"/>
  <c r="CF128" i="16"/>
  <c r="CD129" i="16"/>
  <c r="BZ128" i="16"/>
  <c r="BX129" i="16"/>
  <c r="BT128" i="16"/>
  <c r="BR129" i="16"/>
  <c r="BL128" i="16"/>
  <c r="BN127" i="16"/>
  <c r="BF130" i="16"/>
  <c r="BH129" i="16"/>
  <c r="BB128" i="16"/>
  <c r="AZ129" i="16"/>
  <c r="AT130" i="16"/>
  <c r="AV129" i="16"/>
  <c r="AP128" i="16"/>
  <c r="AN129" i="16"/>
  <c r="AH129" i="16"/>
  <c r="AJ128" i="16"/>
  <c r="AD130" i="16"/>
  <c r="AB131" i="16"/>
  <c r="V131" i="16"/>
  <c r="X131" i="16" s="1"/>
  <c r="CP131" i="16" l="1"/>
  <c r="CR130" i="16"/>
  <c r="CJ131" i="16"/>
  <c r="CL130" i="16"/>
  <c r="CD130" i="16"/>
  <c r="CF129" i="16"/>
  <c r="BX130" i="16"/>
  <c r="BZ129" i="16"/>
  <c r="BR130" i="16"/>
  <c r="BT129" i="16"/>
  <c r="BN128" i="16"/>
  <c r="BL129" i="16"/>
  <c r="BF131" i="16"/>
  <c r="BH130" i="16"/>
  <c r="BB129" i="16"/>
  <c r="AZ130" i="16"/>
  <c r="AT131" i="16"/>
  <c r="AV130" i="16"/>
  <c r="AN130" i="16"/>
  <c r="AP129" i="16"/>
  <c r="AH130" i="16"/>
  <c r="AJ129" i="16"/>
  <c r="AB132" i="16"/>
  <c r="AD131" i="16"/>
  <c r="V132" i="16"/>
  <c r="X132" i="16" s="1"/>
  <c r="CR131" i="16" l="1"/>
  <c r="CP132" i="16"/>
  <c r="CL131" i="16"/>
  <c r="CJ132" i="16"/>
  <c r="CD131" i="16"/>
  <c r="CF130" i="16"/>
  <c r="BX131" i="16"/>
  <c r="BZ130" i="16"/>
  <c r="BR131" i="16"/>
  <c r="BT130" i="16"/>
  <c r="BL130" i="16"/>
  <c r="BN129" i="16"/>
  <c r="BH131" i="16"/>
  <c r="BF132" i="16"/>
  <c r="AZ131" i="16"/>
  <c r="BB130" i="16"/>
  <c r="AV131" i="16"/>
  <c r="AT132" i="16"/>
  <c r="AN131" i="16"/>
  <c r="AP130" i="16"/>
  <c r="AJ130" i="16"/>
  <c r="AH131" i="16"/>
  <c r="AB133" i="16"/>
  <c r="AD132" i="16"/>
  <c r="V133" i="16"/>
  <c r="X133" i="16" s="1"/>
  <c r="CR132" i="16" l="1"/>
  <c r="CP133" i="16"/>
  <c r="CJ133" i="16"/>
  <c r="CL132" i="16"/>
  <c r="CF131" i="16"/>
  <c r="CD132" i="16"/>
  <c r="BZ131" i="16"/>
  <c r="BX132" i="16"/>
  <c r="BT131" i="16"/>
  <c r="BR132" i="16"/>
  <c r="BL131" i="16"/>
  <c r="BN130" i="16"/>
  <c r="BF133" i="16"/>
  <c r="BH132" i="16"/>
  <c r="BB131" i="16"/>
  <c r="AZ132" i="16"/>
  <c r="AT133" i="16"/>
  <c r="AV132" i="16"/>
  <c r="AP131" i="16"/>
  <c r="AN132" i="16"/>
  <c r="AH132" i="16"/>
  <c r="AJ131" i="16"/>
  <c r="AD133" i="16"/>
  <c r="AB134" i="16"/>
  <c r="V134" i="16"/>
  <c r="X134" i="16" s="1"/>
  <c r="CP134" i="16" l="1"/>
  <c r="CR133" i="16"/>
  <c r="CJ134" i="16"/>
  <c r="CL133" i="16"/>
  <c r="CD133" i="16"/>
  <c r="CF132" i="16"/>
  <c r="BX133" i="16"/>
  <c r="BZ132" i="16"/>
  <c r="BR133" i="16"/>
  <c r="BT132" i="16"/>
  <c r="BN131" i="16"/>
  <c r="BL132" i="16"/>
  <c r="BF134" i="16"/>
  <c r="BH133" i="16"/>
  <c r="AZ133" i="16"/>
  <c r="BB132" i="16"/>
  <c r="AV133" i="16"/>
  <c r="AT134" i="16"/>
  <c r="AN133" i="16"/>
  <c r="AP132" i="16"/>
  <c r="AH133" i="16"/>
  <c r="AJ132" i="16"/>
  <c r="AB135" i="16"/>
  <c r="AD134" i="16"/>
  <c r="V135" i="16"/>
  <c r="X135" i="16" s="1"/>
  <c r="CR134" i="16" l="1"/>
  <c r="CP135" i="16"/>
  <c r="CL134" i="16"/>
  <c r="CJ135" i="16"/>
  <c r="CD134" i="16"/>
  <c r="CF133" i="16"/>
  <c r="BX134" i="16"/>
  <c r="BZ133" i="16"/>
  <c r="BR134" i="16"/>
  <c r="BT133" i="16"/>
  <c r="BL133" i="16"/>
  <c r="BN132" i="16"/>
  <c r="BH134" i="16"/>
  <c r="BF135" i="16"/>
  <c r="AZ134" i="16"/>
  <c r="BB133" i="16"/>
  <c r="AV134" i="16"/>
  <c r="AT135" i="16"/>
  <c r="AN134" i="16"/>
  <c r="AP133" i="16"/>
  <c r="AJ133" i="16"/>
  <c r="AH134" i="16"/>
  <c r="AB136" i="16"/>
  <c r="AD135" i="16"/>
  <c r="V136" i="16"/>
  <c r="X136" i="16" s="1"/>
  <c r="CP136" i="16" l="1"/>
  <c r="CR135" i="16"/>
  <c r="CL135" i="16"/>
  <c r="CJ136" i="16"/>
  <c r="CF134" i="16"/>
  <c r="CD135" i="16"/>
  <c r="BZ134" i="16"/>
  <c r="BX135" i="16"/>
  <c r="BT134" i="16"/>
  <c r="BR135" i="16"/>
  <c r="BL134" i="16"/>
  <c r="BN133" i="16"/>
  <c r="BF136" i="16"/>
  <c r="BH135" i="16"/>
  <c r="BB134" i="16"/>
  <c r="AZ135" i="16"/>
  <c r="AT136" i="16"/>
  <c r="AV135" i="16"/>
  <c r="AP134" i="16"/>
  <c r="AN135" i="16"/>
  <c r="AH135" i="16"/>
  <c r="AJ134" i="16"/>
  <c r="AD136" i="16"/>
  <c r="AB137" i="16"/>
  <c r="V137" i="16"/>
  <c r="X137" i="16" s="1"/>
  <c r="CP137" i="16" l="1"/>
  <c r="CR136" i="16"/>
  <c r="CJ137" i="16"/>
  <c r="CL136" i="16"/>
  <c r="CD136" i="16"/>
  <c r="CF135" i="16"/>
  <c r="BX136" i="16"/>
  <c r="BZ135" i="16"/>
  <c r="BR136" i="16"/>
  <c r="BT135" i="16"/>
  <c r="BN134" i="16"/>
  <c r="BL135" i="16"/>
  <c r="BF137" i="16"/>
  <c r="BH136" i="16"/>
  <c r="BB135" i="16"/>
  <c r="AZ136" i="16"/>
  <c r="AV136" i="16"/>
  <c r="AT137" i="16"/>
  <c r="AN136" i="16"/>
  <c r="AP135" i="16"/>
  <c r="AH136" i="16"/>
  <c r="AJ135" i="16"/>
  <c r="AB138" i="16"/>
  <c r="AD137" i="16"/>
  <c r="V138" i="16"/>
  <c r="X138" i="16" s="1"/>
  <c r="CR137" i="16" l="1"/>
  <c r="CP138" i="16"/>
  <c r="CL137" i="16"/>
  <c r="CJ138" i="16"/>
  <c r="CD137" i="16"/>
  <c r="CF136" i="16"/>
  <c r="BX137" i="16"/>
  <c r="BZ136" i="16"/>
  <c r="BR137" i="16"/>
  <c r="BT136" i="16"/>
  <c r="BL136" i="16"/>
  <c r="BN135" i="16"/>
  <c r="BH137" i="16"/>
  <c r="BF138" i="16"/>
  <c r="AZ137" i="16"/>
  <c r="BB136" i="16"/>
  <c r="AV137" i="16"/>
  <c r="AT138" i="16"/>
  <c r="AN137" i="16"/>
  <c r="AP136" i="16"/>
  <c r="AJ136" i="16"/>
  <c r="AH137" i="16"/>
  <c r="AB139" i="16"/>
  <c r="AD138" i="16"/>
  <c r="V139" i="16"/>
  <c r="X139" i="16" s="1"/>
  <c r="CR138" i="16" l="1"/>
  <c r="CP139" i="16"/>
  <c r="CJ139" i="16"/>
  <c r="CL138" i="16"/>
  <c r="CF137" i="16"/>
  <c r="CD138" i="16"/>
  <c r="BZ137" i="16"/>
  <c r="BX138" i="16"/>
  <c r="BT137" i="16"/>
  <c r="BR138" i="16"/>
  <c r="BL137" i="16"/>
  <c r="BN136" i="16"/>
  <c r="BF139" i="16"/>
  <c r="BH138" i="16"/>
  <c r="BB137" i="16"/>
  <c r="AZ138" i="16"/>
  <c r="AT139" i="16"/>
  <c r="AV138" i="16"/>
  <c r="AP137" i="16"/>
  <c r="AN138" i="16"/>
  <c r="AH138" i="16"/>
  <c r="AJ137" i="16"/>
  <c r="AD139" i="16"/>
  <c r="AB140" i="16"/>
  <c r="V140" i="16"/>
  <c r="X140" i="16" s="1"/>
  <c r="CP140" i="16" l="1"/>
  <c r="CR139" i="16"/>
  <c r="CJ140" i="16"/>
  <c r="CL139" i="16"/>
  <c r="CD139" i="16"/>
  <c r="CF138" i="16"/>
  <c r="BX139" i="16"/>
  <c r="BZ138" i="16"/>
  <c r="BR139" i="16"/>
  <c r="BT138" i="16"/>
  <c r="BN137" i="16"/>
  <c r="BL138" i="16"/>
  <c r="BF140" i="16"/>
  <c r="BH139" i="16"/>
  <c r="BB138" i="16"/>
  <c r="AZ139" i="16"/>
  <c r="AV139" i="16"/>
  <c r="AT140" i="16"/>
  <c r="AN139" i="16"/>
  <c r="AP138" i="16"/>
  <c r="AH139" i="16"/>
  <c r="AJ138" i="16"/>
  <c r="AB141" i="16"/>
  <c r="AD140" i="16"/>
  <c r="V141" i="16"/>
  <c r="X141" i="16" s="1"/>
  <c r="CR140" i="16" l="1"/>
  <c r="CP141" i="16"/>
  <c r="CL140" i="16"/>
  <c r="CJ141" i="16"/>
  <c r="CD140" i="16"/>
  <c r="CF139" i="16"/>
  <c r="BX140" i="16"/>
  <c r="BZ139" i="16"/>
  <c r="BR140" i="16"/>
  <c r="BT139" i="16"/>
  <c r="BL139" i="16"/>
  <c r="BN138" i="16"/>
  <c r="BH140" i="16"/>
  <c r="BF141" i="16"/>
  <c r="AZ140" i="16"/>
  <c r="BB139" i="16"/>
  <c r="AV140" i="16"/>
  <c r="AT141" i="16"/>
  <c r="AN140" i="16"/>
  <c r="AP139" i="16"/>
  <c r="AJ139" i="16"/>
  <c r="AH140" i="16"/>
  <c r="AB142" i="16"/>
  <c r="AD141" i="16"/>
  <c r="V142" i="16"/>
  <c r="X142" i="16" s="1"/>
  <c r="CR141" i="16" l="1"/>
  <c r="CP142" i="16"/>
  <c r="CL141" i="16"/>
  <c r="CJ142" i="16"/>
  <c r="CF140" i="16"/>
  <c r="CD141" i="16"/>
  <c r="BZ140" i="16"/>
  <c r="BX141" i="16"/>
  <c r="BT140" i="16"/>
  <c r="BR141" i="16"/>
  <c r="BL140" i="16"/>
  <c r="BN139" i="16"/>
  <c r="BF142" i="16"/>
  <c r="BH141" i="16"/>
  <c r="BB140" i="16"/>
  <c r="AZ141" i="16"/>
  <c r="AT142" i="16"/>
  <c r="AV141" i="16"/>
  <c r="AP140" i="16"/>
  <c r="AN141" i="16"/>
  <c r="AH141" i="16"/>
  <c r="AJ140" i="16"/>
  <c r="AD142" i="16"/>
  <c r="AB143" i="16"/>
  <c r="V143" i="16"/>
  <c r="X143" i="16" s="1"/>
  <c r="CP143" i="16" l="1"/>
  <c r="CR142" i="16"/>
  <c r="CJ143" i="16"/>
  <c r="CL142" i="16"/>
  <c r="CD142" i="16"/>
  <c r="CF141" i="16"/>
  <c r="BX142" i="16"/>
  <c r="BZ141" i="16"/>
  <c r="BR142" i="16"/>
  <c r="BT141" i="16"/>
  <c r="BN140" i="16"/>
  <c r="BL141" i="16"/>
  <c r="BF143" i="16"/>
  <c r="BH142" i="16"/>
  <c r="BB141" i="16"/>
  <c r="AZ142" i="16"/>
  <c r="AV142" i="16"/>
  <c r="AT143" i="16"/>
  <c r="AN142" i="16"/>
  <c r="AP141" i="16"/>
  <c r="AH142" i="16"/>
  <c r="AJ141" i="16"/>
  <c r="AB144" i="16"/>
  <c r="AD143" i="16"/>
  <c r="V144" i="16"/>
  <c r="X144" i="16" s="1"/>
  <c r="CR143" i="16" l="1"/>
  <c r="CP144" i="16"/>
  <c r="CL143" i="16"/>
  <c r="CJ144" i="16"/>
  <c r="CD143" i="16"/>
  <c r="CF142" i="16"/>
  <c r="BX143" i="16"/>
  <c r="BZ142" i="16"/>
  <c r="BR143" i="16"/>
  <c r="BT142" i="16"/>
  <c r="BL142" i="16"/>
  <c r="BN141" i="16"/>
  <c r="BH143" i="16"/>
  <c r="BF144" i="16"/>
  <c r="AZ143" i="16"/>
  <c r="BB142" i="16"/>
  <c r="AV143" i="16"/>
  <c r="AT144" i="16"/>
  <c r="AN143" i="16"/>
  <c r="AP142" i="16"/>
  <c r="AJ142" i="16"/>
  <c r="AH143" i="16"/>
  <c r="AB145" i="16"/>
  <c r="AD144" i="16"/>
  <c r="V145" i="16"/>
  <c r="X145" i="16" s="1"/>
  <c r="CP145" i="16" l="1"/>
  <c r="CR144" i="16"/>
  <c r="CL144" i="16"/>
  <c r="CJ145" i="16"/>
  <c r="CF143" i="16"/>
  <c r="CD144" i="16"/>
  <c r="BZ143" i="16"/>
  <c r="BX144" i="16"/>
  <c r="BT143" i="16"/>
  <c r="BR144" i="16"/>
  <c r="BL143" i="16"/>
  <c r="BN142" i="16"/>
  <c r="BF145" i="16"/>
  <c r="BH144" i="16"/>
  <c r="BB143" i="16"/>
  <c r="AZ144" i="16"/>
  <c r="AT145" i="16"/>
  <c r="AV144" i="16"/>
  <c r="AP143" i="16"/>
  <c r="AN144" i="16"/>
  <c r="AH144" i="16"/>
  <c r="AJ143" i="16"/>
  <c r="AD145" i="16"/>
  <c r="AB146" i="16"/>
  <c r="V146" i="16"/>
  <c r="X146" i="16" s="1"/>
  <c r="CP146" i="16" l="1"/>
  <c r="CR145" i="16"/>
  <c r="CJ146" i="16"/>
  <c r="CL145" i="16"/>
  <c r="CD145" i="16"/>
  <c r="CF144" i="16"/>
  <c r="BX145" i="16"/>
  <c r="BZ144" i="16"/>
  <c r="BR145" i="16"/>
  <c r="BT144" i="16"/>
  <c r="BN143" i="16"/>
  <c r="BL144" i="16"/>
  <c r="BF146" i="16"/>
  <c r="BH145" i="16"/>
  <c r="BB144" i="16"/>
  <c r="AZ145" i="16"/>
  <c r="AT146" i="16"/>
  <c r="AV145" i="16"/>
  <c r="AN145" i="16"/>
  <c r="AP144" i="16"/>
  <c r="AH145" i="16"/>
  <c r="AJ144" i="16"/>
  <c r="AB147" i="16"/>
  <c r="AD146" i="16"/>
  <c r="V147" i="16"/>
  <c r="X147" i="16" s="1"/>
  <c r="CR146" i="16" l="1"/>
  <c r="CP147" i="16"/>
  <c r="CL146" i="16"/>
  <c r="CJ147" i="16"/>
  <c r="CD146" i="16"/>
  <c r="CF145" i="16"/>
  <c r="BX146" i="16"/>
  <c r="BZ145" i="16"/>
  <c r="BR146" i="16"/>
  <c r="BT145" i="16"/>
  <c r="BL145" i="16"/>
  <c r="BN144" i="16"/>
  <c r="BH146" i="16"/>
  <c r="BF147" i="16"/>
  <c r="AZ146" i="16"/>
  <c r="BB145" i="16"/>
  <c r="AV146" i="16"/>
  <c r="AT147" i="16"/>
  <c r="AN146" i="16"/>
  <c r="AP145" i="16"/>
  <c r="AJ145" i="16"/>
  <c r="AH146" i="16"/>
  <c r="AB148" i="16"/>
  <c r="AD147" i="16"/>
  <c r="V148" i="16"/>
  <c r="CR147" i="16" l="1"/>
  <c r="CP148" i="16"/>
  <c r="CL147" i="16"/>
  <c r="CJ148" i="16"/>
  <c r="CF146" i="16"/>
  <c r="CD147" i="16"/>
  <c r="BZ146" i="16"/>
  <c r="BX147" i="16"/>
  <c r="BT146" i="16"/>
  <c r="BR147" i="16"/>
  <c r="BL146" i="16"/>
  <c r="BN145" i="16"/>
  <c r="BF148" i="16"/>
  <c r="BH147" i="16"/>
  <c r="BB146" i="16"/>
  <c r="AZ147" i="16"/>
  <c r="AT148" i="16"/>
  <c r="AV147" i="16"/>
  <c r="AP146" i="16"/>
  <c r="AN147" i="16"/>
  <c r="AD148" i="16"/>
  <c r="AB149" i="16"/>
  <c r="X148" i="16"/>
  <c r="V149" i="16"/>
  <c r="AH147" i="16"/>
  <c r="AJ146" i="16"/>
  <c r="CP149" i="16" l="1"/>
  <c r="CR148" i="16"/>
  <c r="CJ149" i="16"/>
  <c r="CL148" i="16"/>
  <c r="CD148" i="16"/>
  <c r="CF147" i="16"/>
  <c r="BX148" i="16"/>
  <c r="BZ147" i="16"/>
  <c r="BR148" i="16"/>
  <c r="BT147" i="16"/>
  <c r="BN146" i="16"/>
  <c r="BL147" i="16"/>
  <c r="BF149" i="16"/>
  <c r="BH148" i="16"/>
  <c r="BB147" i="16"/>
  <c r="AZ148" i="16"/>
  <c r="AT149" i="16"/>
  <c r="AV148" i="16"/>
  <c r="AN148" i="16"/>
  <c r="AP147" i="16"/>
  <c r="AD149" i="16"/>
  <c r="AB150" i="16"/>
  <c r="X149" i="16"/>
  <c r="V150" i="16"/>
  <c r="AH148" i="16"/>
  <c r="AJ147" i="16"/>
  <c r="CR149" i="16" l="1"/>
  <c r="CP150" i="16"/>
  <c r="CL149" i="16"/>
  <c r="CJ150" i="16"/>
  <c r="CD149" i="16"/>
  <c r="CF148" i="16"/>
  <c r="BX149" i="16"/>
  <c r="BZ148" i="16"/>
  <c r="BR149" i="16"/>
  <c r="BT148" i="16"/>
  <c r="BL148" i="16"/>
  <c r="BN147" i="16"/>
  <c r="BH149" i="16"/>
  <c r="BF150" i="16"/>
  <c r="AZ149" i="16"/>
  <c r="BB148" i="16"/>
  <c r="AV149" i="16"/>
  <c r="AT150" i="16"/>
  <c r="AN149" i="16"/>
  <c r="AP148" i="16"/>
  <c r="AJ148" i="16"/>
  <c r="AH149" i="16"/>
  <c r="AB151" i="16"/>
  <c r="AD150" i="16"/>
  <c r="X150" i="16"/>
  <c r="V151" i="16"/>
  <c r="CP151" i="16" l="1"/>
  <c r="CR150" i="16"/>
  <c r="CJ151" i="16"/>
  <c r="CL150" i="16"/>
  <c r="CF149" i="16"/>
  <c r="CD150" i="16"/>
  <c r="BZ149" i="16"/>
  <c r="BX150" i="16"/>
  <c r="BT149" i="16"/>
  <c r="BR150" i="16"/>
  <c r="BL149" i="16"/>
  <c r="BN148" i="16"/>
  <c r="BF151" i="16"/>
  <c r="BH150" i="16"/>
  <c r="BB149" i="16"/>
  <c r="AZ150" i="16"/>
  <c r="AT151" i="16"/>
  <c r="AV150" i="16"/>
  <c r="AP149" i="16"/>
  <c r="AN150" i="16"/>
  <c r="AJ149" i="16"/>
  <c r="AH150" i="16"/>
  <c r="AB152" i="16"/>
  <c r="AD151" i="16"/>
  <c r="V152" i="16"/>
  <c r="X151" i="16"/>
  <c r="CP152" i="16" l="1"/>
  <c r="CR151" i="16"/>
  <c r="CJ152" i="16"/>
  <c r="CL151" i="16"/>
  <c r="CD151" i="16"/>
  <c r="CF150" i="16"/>
  <c r="BX151" i="16"/>
  <c r="BZ150" i="16"/>
  <c r="BR151" i="16"/>
  <c r="BT150" i="16"/>
  <c r="BN149" i="16"/>
  <c r="BL150" i="16"/>
  <c r="BF152" i="16"/>
  <c r="BH151" i="16"/>
  <c r="BB150" i="16"/>
  <c r="AZ151" i="16"/>
  <c r="AV151" i="16"/>
  <c r="AT152" i="16"/>
  <c r="AN151" i="16"/>
  <c r="AP150" i="16"/>
  <c r="AH151" i="16"/>
  <c r="AJ150" i="16"/>
  <c r="AD152" i="16"/>
  <c r="AB153" i="16"/>
  <c r="X152" i="16"/>
  <c r="V153" i="16"/>
  <c r="CR152" i="16" l="1"/>
  <c r="CP153" i="16"/>
  <c r="CL152" i="16"/>
  <c r="CJ153" i="16"/>
  <c r="CD152" i="16"/>
  <c r="CF151" i="16"/>
  <c r="BX152" i="16"/>
  <c r="BZ151" i="16"/>
  <c r="BR152" i="16"/>
  <c r="BT151" i="16"/>
  <c r="BL151" i="16"/>
  <c r="BN150" i="16"/>
  <c r="BH152" i="16"/>
  <c r="BF153" i="16"/>
  <c r="AZ152" i="16"/>
  <c r="BB151" i="16"/>
  <c r="AV152" i="16"/>
  <c r="AT153" i="16"/>
  <c r="AN152" i="16"/>
  <c r="AP151" i="16"/>
  <c r="AH152" i="16"/>
  <c r="AJ151" i="16"/>
  <c r="AD153" i="16"/>
  <c r="AB154" i="16"/>
  <c r="X153" i="16"/>
  <c r="V154" i="16"/>
  <c r="CR153" i="16" l="1"/>
  <c r="CP154" i="16"/>
  <c r="CL153" i="16"/>
  <c r="CJ154" i="16"/>
  <c r="CF152" i="16"/>
  <c r="CD153" i="16"/>
  <c r="BZ152" i="16"/>
  <c r="BX153" i="16"/>
  <c r="BT152" i="16"/>
  <c r="BR153" i="16"/>
  <c r="BL152" i="16"/>
  <c r="BN151" i="16"/>
  <c r="BF154" i="16"/>
  <c r="BH153" i="16"/>
  <c r="BB152" i="16"/>
  <c r="AZ153" i="16"/>
  <c r="AT154" i="16"/>
  <c r="AV153" i="16"/>
  <c r="AP152" i="16"/>
  <c r="AN153" i="16"/>
  <c r="AH153" i="16"/>
  <c r="AJ152" i="16"/>
  <c r="AB155" i="16"/>
  <c r="AD154" i="16"/>
  <c r="V155" i="16"/>
  <c r="X154" i="16"/>
  <c r="CP155" i="16" l="1"/>
  <c r="CR154" i="16"/>
  <c r="CJ155" i="16"/>
  <c r="CL154" i="16"/>
  <c r="CD154" i="16"/>
  <c r="CF153" i="16"/>
  <c r="BX154" i="16"/>
  <c r="BZ153" i="16"/>
  <c r="BR154" i="16"/>
  <c r="BT153" i="16"/>
  <c r="BN152" i="16"/>
  <c r="BL153" i="16"/>
  <c r="BF155" i="16"/>
  <c r="BH154" i="16"/>
  <c r="BB153" i="16"/>
  <c r="AZ154" i="16"/>
  <c r="AV154" i="16"/>
  <c r="AT155" i="16"/>
  <c r="AN154" i="16"/>
  <c r="AP153" i="16"/>
  <c r="AJ153" i="16"/>
  <c r="AH154" i="16"/>
  <c r="AB156" i="16"/>
  <c r="AD155" i="16"/>
  <c r="X155" i="16"/>
  <c r="V156" i="16"/>
  <c r="CR155" i="16" l="1"/>
  <c r="CP156" i="16"/>
  <c r="CL155" i="16"/>
  <c r="CJ156" i="16"/>
  <c r="CD155" i="16"/>
  <c r="CF154" i="16"/>
  <c r="BX155" i="16"/>
  <c r="BZ154" i="16"/>
  <c r="BR155" i="16"/>
  <c r="BT154" i="16"/>
  <c r="BL154" i="16"/>
  <c r="BN153" i="16"/>
  <c r="BH155" i="16"/>
  <c r="BF156" i="16"/>
  <c r="AZ155" i="16"/>
  <c r="BB154" i="16"/>
  <c r="AV155" i="16"/>
  <c r="AT156" i="16"/>
  <c r="AN155" i="16"/>
  <c r="AP154" i="16"/>
  <c r="AH155" i="16"/>
  <c r="AJ154" i="16"/>
  <c r="AB157" i="16"/>
  <c r="AD156" i="16"/>
  <c r="X156" i="16"/>
  <c r="V157" i="16"/>
  <c r="CR156" i="16" l="1"/>
  <c r="CP157" i="16"/>
  <c r="CJ157" i="16"/>
  <c r="CL156" i="16"/>
  <c r="CF155" i="16"/>
  <c r="CD156" i="16"/>
  <c r="BZ155" i="16"/>
  <c r="BX156" i="16"/>
  <c r="BT155" i="16"/>
  <c r="BR156" i="16"/>
  <c r="BL155" i="16"/>
  <c r="BN154" i="16"/>
  <c r="BF157" i="16"/>
  <c r="BH156" i="16"/>
  <c r="BB155" i="16"/>
  <c r="AZ156" i="16"/>
  <c r="AT157" i="16"/>
  <c r="AV156" i="16"/>
  <c r="AP155" i="16"/>
  <c r="AN156" i="16"/>
  <c r="AJ155" i="16"/>
  <c r="AH156" i="16"/>
  <c r="AD157" i="16"/>
  <c r="AB158" i="16"/>
  <c r="X157" i="16"/>
  <c r="V158" i="16"/>
  <c r="CP158" i="16" l="1"/>
  <c r="CR157" i="16"/>
  <c r="CJ158" i="16"/>
  <c r="CL157" i="16"/>
  <c r="CD157" i="16"/>
  <c r="CF156" i="16"/>
  <c r="BX157" i="16"/>
  <c r="BZ156" i="16"/>
  <c r="BR157" i="16"/>
  <c r="BT156" i="16"/>
  <c r="BN155" i="16"/>
  <c r="BL156" i="16"/>
  <c r="BF158" i="16"/>
  <c r="BH157" i="16"/>
  <c r="BB156" i="16"/>
  <c r="AZ157" i="16"/>
  <c r="AV157" i="16"/>
  <c r="AT158" i="16"/>
  <c r="AN157" i="16"/>
  <c r="AP156" i="16"/>
  <c r="AJ156" i="16"/>
  <c r="AH157" i="16"/>
  <c r="AB159" i="16"/>
  <c r="AD158" i="16"/>
  <c r="X158" i="16"/>
  <c r="V159" i="16"/>
  <c r="CR158" i="16" l="1"/>
  <c r="CP159" i="16"/>
  <c r="CL158" i="16"/>
  <c r="CJ159" i="16"/>
  <c r="CD158" i="16"/>
  <c r="CF157" i="16"/>
  <c r="BX158" i="16"/>
  <c r="BZ157" i="16"/>
  <c r="BR158" i="16"/>
  <c r="BT157" i="16"/>
  <c r="BL157" i="16"/>
  <c r="BN156" i="16"/>
  <c r="BH158" i="16"/>
  <c r="BF159" i="16"/>
  <c r="AZ158" i="16"/>
  <c r="BB157" i="16"/>
  <c r="AV158" i="16"/>
  <c r="AT159" i="16"/>
  <c r="AN158" i="16"/>
  <c r="AP157" i="16"/>
  <c r="AH158" i="16"/>
  <c r="AJ157" i="16"/>
  <c r="AB160" i="16"/>
  <c r="AD159" i="16"/>
  <c r="X159" i="16"/>
  <c r="V160" i="16"/>
  <c r="CR159" i="16" l="1"/>
  <c r="CP160" i="16"/>
  <c r="CL159" i="16"/>
  <c r="CJ160" i="16"/>
  <c r="CF158" i="16"/>
  <c r="CD159" i="16"/>
  <c r="BZ158" i="16"/>
  <c r="BX159" i="16"/>
  <c r="BT158" i="16"/>
  <c r="BR159" i="16"/>
  <c r="BL158" i="16"/>
  <c r="BN157" i="16"/>
  <c r="BF160" i="16"/>
  <c r="BH159" i="16"/>
  <c r="BB158" i="16"/>
  <c r="AZ159" i="16"/>
  <c r="AT160" i="16"/>
  <c r="AV159" i="16"/>
  <c r="AP158" i="16"/>
  <c r="AN159" i="16"/>
  <c r="AJ158" i="16"/>
  <c r="AH159" i="16"/>
  <c r="AB161" i="16"/>
  <c r="AD160" i="16"/>
  <c r="X160" i="16"/>
  <c r="V161" i="16"/>
  <c r="CP161" i="16" l="1"/>
  <c r="CR160" i="16"/>
  <c r="CJ161" i="16"/>
  <c r="CL160" i="16"/>
  <c r="CD160" i="16"/>
  <c r="CF159" i="16"/>
  <c r="BX160" i="16"/>
  <c r="BZ159" i="16"/>
  <c r="BR160" i="16"/>
  <c r="BT159" i="16"/>
  <c r="BN158" i="16"/>
  <c r="BL159" i="16"/>
  <c r="BF161" i="16"/>
  <c r="BH160" i="16"/>
  <c r="BB159" i="16"/>
  <c r="AZ160" i="16"/>
  <c r="AT161" i="16"/>
  <c r="AV160" i="16"/>
  <c r="AN160" i="16"/>
  <c r="AP159" i="16"/>
  <c r="AJ159" i="16"/>
  <c r="AH160" i="16"/>
  <c r="AD161" i="16"/>
  <c r="AB162" i="16"/>
  <c r="V162" i="16"/>
  <c r="X161" i="16"/>
  <c r="CR161" i="16" l="1"/>
  <c r="CP162" i="16"/>
  <c r="CL161" i="16"/>
  <c r="CJ162" i="16"/>
  <c r="CD161" i="16"/>
  <c r="CF160" i="16"/>
  <c r="BX161" i="16"/>
  <c r="BZ160" i="16"/>
  <c r="BR161" i="16"/>
  <c r="BT160" i="16"/>
  <c r="BL160" i="16"/>
  <c r="BN159" i="16"/>
  <c r="BH161" i="16"/>
  <c r="BF162" i="16"/>
  <c r="AZ161" i="16"/>
  <c r="BB160" i="16"/>
  <c r="AV161" i="16"/>
  <c r="AT162" i="16"/>
  <c r="AN161" i="16"/>
  <c r="AP160" i="16"/>
  <c r="AH161" i="16"/>
  <c r="AJ160" i="16"/>
  <c r="AD162" i="16"/>
  <c r="AB163" i="16"/>
  <c r="X162" i="16"/>
  <c r="V163" i="16"/>
  <c r="CP163" i="16" l="1"/>
  <c r="CR162" i="16"/>
  <c r="CJ163" i="16"/>
  <c r="CL162" i="16"/>
  <c r="CF161" i="16"/>
  <c r="CD162" i="16"/>
  <c r="BZ161" i="16"/>
  <c r="BX162" i="16"/>
  <c r="BT161" i="16"/>
  <c r="BR162" i="16"/>
  <c r="BL161" i="16"/>
  <c r="BN160" i="16"/>
  <c r="BF163" i="16"/>
  <c r="BH162" i="16"/>
  <c r="BB161" i="16"/>
  <c r="AZ162" i="16"/>
  <c r="AT163" i="16"/>
  <c r="AV162" i="16"/>
  <c r="AP161" i="16"/>
  <c r="AN162" i="16"/>
  <c r="AJ161" i="16"/>
  <c r="AH162" i="16"/>
  <c r="AB164" i="16"/>
  <c r="AD163" i="16"/>
  <c r="V164" i="16"/>
  <c r="X163" i="16"/>
  <c r="CP164" i="16" l="1"/>
  <c r="CR163" i="16"/>
  <c r="CJ164" i="16"/>
  <c r="CL163" i="16"/>
  <c r="CD163" i="16"/>
  <c r="CF162" i="16"/>
  <c r="BX163" i="16"/>
  <c r="BZ162" i="16"/>
  <c r="BR163" i="16"/>
  <c r="BT162" i="16"/>
  <c r="BN161" i="16"/>
  <c r="BL162" i="16"/>
  <c r="BH163" i="16"/>
  <c r="BF164" i="16"/>
  <c r="AZ163" i="16"/>
  <c r="BB162" i="16"/>
  <c r="AT164" i="16"/>
  <c r="AV163" i="16"/>
  <c r="AN163" i="16"/>
  <c r="AP162" i="16"/>
  <c r="AJ162" i="16"/>
  <c r="AH163" i="16"/>
  <c r="AD164" i="16"/>
  <c r="AB165" i="16"/>
  <c r="X164" i="16"/>
  <c r="V165" i="16"/>
  <c r="CR164" i="16" l="1"/>
  <c r="CP165" i="16"/>
  <c r="CL164" i="16"/>
  <c r="CJ165" i="16"/>
  <c r="CD164" i="16"/>
  <c r="CF163" i="16"/>
  <c r="BX164" i="16"/>
  <c r="BZ163" i="16"/>
  <c r="BR164" i="16"/>
  <c r="BT163" i="16"/>
  <c r="BL163" i="16"/>
  <c r="BN162" i="16"/>
  <c r="BH164" i="16"/>
  <c r="BF165" i="16"/>
  <c r="AZ164" i="16"/>
  <c r="BB163" i="16"/>
  <c r="AV164" i="16"/>
  <c r="AT165" i="16"/>
  <c r="AN164" i="16"/>
  <c r="AP163" i="16"/>
  <c r="AH164" i="16"/>
  <c r="AJ163" i="16"/>
  <c r="AD165" i="16"/>
  <c r="AB166" i="16"/>
  <c r="X165" i="16"/>
  <c r="V166" i="16"/>
  <c r="CR165" i="16" l="1"/>
  <c r="CP166" i="16"/>
  <c r="CJ166" i="16"/>
  <c r="CL165" i="16"/>
  <c r="CF164" i="16"/>
  <c r="CD165" i="16"/>
  <c r="BZ164" i="16"/>
  <c r="BX165" i="16"/>
  <c r="BT164" i="16"/>
  <c r="BR165" i="16"/>
  <c r="BL164" i="16"/>
  <c r="BN163" i="16"/>
  <c r="BF166" i="16"/>
  <c r="BH165" i="16"/>
  <c r="BB164" i="16"/>
  <c r="AZ165" i="16"/>
  <c r="AT166" i="16"/>
  <c r="AV165" i="16"/>
  <c r="AP164" i="16"/>
  <c r="AN165" i="16"/>
  <c r="AJ164" i="16"/>
  <c r="AH165" i="16"/>
  <c r="AD166" i="16"/>
  <c r="AB167" i="16"/>
  <c r="V167" i="16"/>
  <c r="X166" i="16"/>
  <c r="CP167" i="16" l="1"/>
  <c r="CR166" i="16"/>
  <c r="CJ167" i="16"/>
  <c r="CL166" i="16"/>
  <c r="CD166" i="16"/>
  <c r="CF165" i="16"/>
  <c r="BX166" i="16"/>
  <c r="BZ165" i="16"/>
  <c r="BR166" i="16"/>
  <c r="BT165" i="16"/>
  <c r="BN164" i="16"/>
  <c r="BL165" i="16"/>
  <c r="BF167" i="16"/>
  <c r="BH166" i="16"/>
  <c r="BB165" i="16"/>
  <c r="AZ166" i="16"/>
  <c r="AV166" i="16"/>
  <c r="AT167" i="16"/>
  <c r="AN166" i="16"/>
  <c r="AP165" i="16"/>
  <c r="AJ165" i="16"/>
  <c r="AH166" i="16"/>
  <c r="AD167" i="16"/>
  <c r="AB168" i="16"/>
  <c r="X167" i="16"/>
  <c r="V168" i="16"/>
  <c r="CR167" i="16" l="1"/>
  <c r="CP168" i="16"/>
  <c r="CL167" i="16"/>
  <c r="CJ168" i="16"/>
  <c r="CD167" i="16"/>
  <c r="CF166" i="16"/>
  <c r="BX167" i="16"/>
  <c r="BZ166" i="16"/>
  <c r="BR167" i="16"/>
  <c r="BT166" i="16"/>
  <c r="BL166" i="16"/>
  <c r="BN165" i="16"/>
  <c r="BH167" i="16"/>
  <c r="BF168" i="16"/>
  <c r="AZ167" i="16"/>
  <c r="BB166" i="16"/>
  <c r="AV167" i="16"/>
  <c r="AT168" i="16"/>
  <c r="AN167" i="16"/>
  <c r="AP166" i="16"/>
  <c r="AH167" i="16"/>
  <c r="AJ166" i="16"/>
  <c r="AD168" i="16"/>
  <c r="AB169" i="16"/>
  <c r="X168" i="16"/>
  <c r="V169" i="16"/>
  <c r="CR168" i="16" l="1"/>
  <c r="CP169" i="16"/>
  <c r="CJ169" i="16"/>
  <c r="CL168" i="16"/>
  <c r="CF167" i="16"/>
  <c r="CD168" i="16"/>
  <c r="BZ167" i="16"/>
  <c r="BX168" i="16"/>
  <c r="BT167" i="16"/>
  <c r="BR168" i="16"/>
  <c r="BL167" i="16"/>
  <c r="BN166" i="16"/>
  <c r="BF169" i="16"/>
  <c r="BH168" i="16"/>
  <c r="BB167" i="16"/>
  <c r="AZ168" i="16"/>
  <c r="AT169" i="16"/>
  <c r="AV168" i="16"/>
  <c r="AP167" i="16"/>
  <c r="AN168" i="16"/>
  <c r="AH168" i="16"/>
  <c r="AJ167" i="16"/>
  <c r="AB170" i="16"/>
  <c r="AD169" i="16"/>
  <c r="V170" i="16"/>
  <c r="X169" i="16"/>
  <c r="CP170" i="16" l="1"/>
  <c r="CR169" i="16"/>
  <c r="CJ170" i="16"/>
  <c r="CL169" i="16"/>
  <c r="CD169" i="16"/>
  <c r="CF168" i="16"/>
  <c r="BX169" i="16"/>
  <c r="BZ168" i="16"/>
  <c r="BR169" i="16"/>
  <c r="BT168" i="16"/>
  <c r="BN167" i="16"/>
  <c r="BL168" i="16"/>
  <c r="BF170" i="16"/>
  <c r="BH169" i="16"/>
  <c r="BB168" i="16"/>
  <c r="AZ169" i="16"/>
  <c r="AV169" i="16"/>
  <c r="AT170" i="16"/>
  <c r="AN169" i="16"/>
  <c r="AP168" i="16"/>
  <c r="AH169" i="16"/>
  <c r="AJ168" i="16"/>
  <c r="AD170" i="16"/>
  <c r="AB171" i="16"/>
  <c r="X170" i="16"/>
  <c r="V171" i="16"/>
  <c r="CR170" i="16" l="1"/>
  <c r="CP171" i="16"/>
  <c r="CL170" i="16"/>
  <c r="CJ171" i="16"/>
  <c r="CD170" i="16"/>
  <c r="CF169" i="16"/>
  <c r="BX170" i="16"/>
  <c r="BZ169" i="16"/>
  <c r="BR170" i="16"/>
  <c r="BT169" i="16"/>
  <c r="BL169" i="16"/>
  <c r="BN168" i="16"/>
  <c r="BH170" i="16"/>
  <c r="BF171" i="16"/>
  <c r="AZ170" i="16"/>
  <c r="BB169" i="16"/>
  <c r="AV170" i="16"/>
  <c r="AT171" i="16"/>
  <c r="AN170" i="16"/>
  <c r="AP169" i="16"/>
  <c r="AH170" i="16"/>
  <c r="AJ169" i="16"/>
  <c r="AD171" i="16"/>
  <c r="AB172" i="16"/>
  <c r="X171" i="16"/>
  <c r="V172" i="16"/>
  <c r="CP172" i="16" l="1"/>
  <c r="CR171" i="16"/>
  <c r="CL171" i="16"/>
  <c r="CJ172" i="16"/>
  <c r="CF170" i="16"/>
  <c r="CD171" i="16"/>
  <c r="BZ170" i="16"/>
  <c r="BX171" i="16"/>
  <c r="BT170" i="16"/>
  <c r="BR171" i="16"/>
  <c r="BL170" i="16"/>
  <c r="BN169" i="16"/>
  <c r="BF172" i="16"/>
  <c r="BH171" i="16"/>
  <c r="BB170" i="16"/>
  <c r="AZ171" i="16"/>
  <c r="AT172" i="16"/>
  <c r="AV171" i="16"/>
  <c r="AP170" i="16"/>
  <c r="AN171" i="16"/>
  <c r="AJ170" i="16"/>
  <c r="AH171" i="16"/>
  <c r="AB173" i="16"/>
  <c r="AD172" i="16"/>
  <c r="V173" i="16"/>
  <c r="X172" i="16"/>
  <c r="CP173" i="16" l="1"/>
  <c r="CR172" i="16"/>
  <c r="CJ173" i="16"/>
  <c r="CL172" i="16"/>
  <c r="CD172" i="16"/>
  <c r="CF171" i="16"/>
  <c r="BX172" i="16"/>
  <c r="BZ171" i="16"/>
  <c r="BR172" i="16"/>
  <c r="BT171" i="16"/>
  <c r="BN170" i="16"/>
  <c r="BL171" i="16"/>
  <c r="BF173" i="16"/>
  <c r="BH172" i="16"/>
  <c r="BB171" i="16"/>
  <c r="AZ172" i="16"/>
  <c r="AT173" i="16"/>
  <c r="AV172" i="16"/>
  <c r="AN172" i="16"/>
  <c r="AP171" i="16"/>
  <c r="AJ171" i="16"/>
  <c r="AH172" i="16"/>
  <c r="AD173" i="16"/>
  <c r="AB174" i="16"/>
  <c r="X173" i="16"/>
  <c r="V174" i="16"/>
  <c r="CR173" i="16" l="1"/>
  <c r="CP174" i="16"/>
  <c r="CL173" i="16"/>
  <c r="CJ174" i="16"/>
  <c r="CD173" i="16"/>
  <c r="CF172" i="16"/>
  <c r="BX173" i="16"/>
  <c r="BZ172" i="16"/>
  <c r="BR173" i="16"/>
  <c r="BT172" i="16"/>
  <c r="BL172" i="16"/>
  <c r="BN171" i="16"/>
  <c r="BH173" i="16"/>
  <c r="BF174" i="16"/>
  <c r="AZ173" i="16"/>
  <c r="BB172" i="16"/>
  <c r="AV173" i="16"/>
  <c r="AT174" i="16"/>
  <c r="AN173" i="16"/>
  <c r="AP172" i="16"/>
  <c r="AH173" i="16"/>
  <c r="AJ172" i="16"/>
  <c r="AB175" i="16"/>
  <c r="AD174" i="16"/>
  <c r="X174" i="16"/>
  <c r="V175" i="16"/>
  <c r="CR174" i="16" l="1"/>
  <c r="CP175" i="16"/>
  <c r="CJ175" i="16"/>
  <c r="CL174" i="16"/>
  <c r="CF173" i="16"/>
  <c r="CD174" i="16"/>
  <c r="BZ173" i="16"/>
  <c r="BX174" i="16"/>
  <c r="BT173" i="16"/>
  <c r="BR174" i="16"/>
  <c r="BL173" i="16"/>
  <c r="BN172" i="16"/>
  <c r="BF175" i="16"/>
  <c r="BH174" i="16"/>
  <c r="BB173" i="16"/>
  <c r="AZ174" i="16"/>
  <c r="AT175" i="16"/>
  <c r="AV174" i="16"/>
  <c r="AP173" i="16"/>
  <c r="AN174" i="16"/>
  <c r="AJ173" i="16"/>
  <c r="AH174" i="16"/>
  <c r="AB176" i="16"/>
  <c r="AD175" i="16"/>
  <c r="V176" i="16"/>
  <c r="X175" i="16"/>
  <c r="CP176" i="16" l="1"/>
  <c r="CR175" i="16"/>
  <c r="CJ176" i="16"/>
  <c r="CL175" i="16"/>
  <c r="CD175" i="16"/>
  <c r="CF174" i="16"/>
  <c r="BX175" i="16"/>
  <c r="BZ174" i="16"/>
  <c r="BR175" i="16"/>
  <c r="BT174" i="16"/>
  <c r="BN173" i="16"/>
  <c r="BL174" i="16"/>
  <c r="BF176" i="16"/>
  <c r="BH175" i="16"/>
  <c r="AZ175" i="16"/>
  <c r="BB174" i="16"/>
  <c r="AT176" i="16"/>
  <c r="AV175" i="16"/>
  <c r="AN175" i="16"/>
  <c r="AP174" i="16"/>
  <c r="AH175" i="16"/>
  <c r="AJ174" i="16"/>
  <c r="AD176" i="16"/>
  <c r="AB177" i="16"/>
  <c r="X176" i="16"/>
  <c r="V177" i="16"/>
  <c r="CR176" i="16" l="1"/>
  <c r="CP177" i="16"/>
  <c r="CL176" i="16"/>
  <c r="CJ177" i="16"/>
  <c r="CD176" i="16"/>
  <c r="CF175" i="16"/>
  <c r="BX176" i="16"/>
  <c r="BZ175" i="16"/>
  <c r="BR176" i="16"/>
  <c r="BT175" i="16"/>
  <c r="BL175" i="16"/>
  <c r="BN174" i="16"/>
  <c r="BH176" i="16"/>
  <c r="BF177" i="16"/>
  <c r="AZ176" i="16"/>
  <c r="BB175" i="16"/>
  <c r="AV176" i="16"/>
  <c r="AT177" i="16"/>
  <c r="AN176" i="16"/>
  <c r="AP175" i="16"/>
  <c r="AJ175" i="16"/>
  <c r="AH176" i="16"/>
  <c r="AB178" i="16"/>
  <c r="AD177" i="16"/>
  <c r="X177" i="16"/>
  <c r="V178" i="16"/>
  <c r="CP178" i="16" l="1"/>
  <c r="CR177" i="16"/>
  <c r="CJ178" i="16"/>
  <c r="CL177" i="16"/>
  <c r="CF176" i="16"/>
  <c r="CD177" i="16"/>
  <c r="BZ176" i="16"/>
  <c r="BX177" i="16"/>
  <c r="BT176" i="16"/>
  <c r="BR177" i="16"/>
  <c r="BL176" i="16"/>
  <c r="BN175" i="16"/>
  <c r="BF178" i="16"/>
  <c r="BH177" i="16"/>
  <c r="BB176" i="16"/>
  <c r="AZ177" i="16"/>
  <c r="AT178" i="16"/>
  <c r="AV177" i="16"/>
  <c r="AP176" i="16"/>
  <c r="AN177" i="16"/>
  <c r="AJ176" i="16"/>
  <c r="AH177" i="16"/>
  <c r="AB179" i="16"/>
  <c r="AD178" i="16"/>
  <c r="V179" i="16"/>
  <c r="X178" i="16"/>
  <c r="CP179" i="16" l="1"/>
  <c r="CR178" i="16"/>
  <c r="CJ179" i="16"/>
  <c r="CL178" i="16"/>
  <c r="CD178" i="16"/>
  <c r="CF177" i="16"/>
  <c r="BX178" i="16"/>
  <c r="BZ177" i="16"/>
  <c r="BR178" i="16"/>
  <c r="BT177" i="16"/>
  <c r="BN176" i="16"/>
  <c r="BL177" i="16"/>
  <c r="BF179" i="16"/>
  <c r="BH178" i="16"/>
  <c r="BB177" i="16"/>
  <c r="AZ178" i="16"/>
  <c r="AV178" i="16"/>
  <c r="AT179" i="16"/>
  <c r="AN178" i="16"/>
  <c r="AP177" i="16"/>
  <c r="AH178" i="16"/>
  <c r="AJ177" i="16"/>
  <c r="AD179" i="16"/>
  <c r="AB180" i="16"/>
  <c r="X179" i="16"/>
  <c r="V180" i="16"/>
  <c r="CR179" i="16" l="1"/>
  <c r="CP180" i="16"/>
  <c r="CL179" i="16"/>
  <c r="CJ180" i="16"/>
  <c r="CD179" i="16"/>
  <c r="CF178" i="16"/>
  <c r="BX179" i="16"/>
  <c r="BZ178" i="16"/>
  <c r="BR179" i="16"/>
  <c r="BT178" i="16"/>
  <c r="BL178" i="16"/>
  <c r="BN177" i="16"/>
  <c r="BH179" i="16"/>
  <c r="BF180" i="16"/>
  <c r="AZ179" i="16"/>
  <c r="BB178" i="16"/>
  <c r="AV179" i="16"/>
  <c r="AT180" i="16"/>
  <c r="AN179" i="16"/>
  <c r="AP178" i="16"/>
  <c r="AJ178" i="16"/>
  <c r="AH179" i="16"/>
  <c r="AD180" i="16"/>
  <c r="AB181" i="16"/>
  <c r="X180" i="16"/>
  <c r="V181" i="16"/>
  <c r="CR180" i="16" l="1"/>
  <c r="CP181" i="16"/>
  <c r="CJ181" i="16"/>
  <c r="CL180" i="16"/>
  <c r="CF179" i="16"/>
  <c r="CD180" i="16"/>
  <c r="BZ179" i="16"/>
  <c r="BX180" i="16"/>
  <c r="BT179" i="16"/>
  <c r="BR180" i="16"/>
  <c r="BL179" i="16"/>
  <c r="BN178" i="16"/>
  <c r="BF181" i="16"/>
  <c r="BH180" i="16"/>
  <c r="BB179" i="16"/>
  <c r="AZ180" i="16"/>
  <c r="AT181" i="16"/>
  <c r="AV180" i="16"/>
  <c r="AP179" i="16"/>
  <c r="AN180" i="16"/>
  <c r="AJ179" i="16"/>
  <c r="AH180" i="16"/>
  <c r="AB182" i="16"/>
  <c r="AD181" i="16"/>
  <c r="V182" i="16"/>
  <c r="X181" i="16"/>
  <c r="CP182" i="16" l="1"/>
  <c r="CR181" i="16"/>
  <c r="CJ182" i="16"/>
  <c r="CL181" i="16"/>
  <c r="CD181" i="16"/>
  <c r="CF180" i="16"/>
  <c r="BX181" i="16"/>
  <c r="BZ180" i="16"/>
  <c r="BR181" i="16"/>
  <c r="BT180" i="16"/>
  <c r="BN179" i="16"/>
  <c r="BL180" i="16"/>
  <c r="BF182" i="16"/>
  <c r="BH181" i="16"/>
  <c r="BB180" i="16"/>
  <c r="AZ181" i="16"/>
  <c r="AT182" i="16"/>
  <c r="AV181" i="16"/>
  <c r="AN181" i="16"/>
  <c r="AP180" i="16"/>
  <c r="AH181" i="16"/>
  <c r="AJ180" i="16"/>
  <c r="AD182" i="16"/>
  <c r="AB183" i="16"/>
  <c r="X182" i="16"/>
  <c r="V183" i="16"/>
  <c r="CR182" i="16" l="1"/>
  <c r="CP183" i="16"/>
  <c r="CL182" i="16"/>
  <c r="CJ183" i="16"/>
  <c r="CD182" i="16"/>
  <c r="CF181" i="16"/>
  <c r="BX182" i="16"/>
  <c r="BZ181" i="16"/>
  <c r="BR182" i="16"/>
  <c r="BT181" i="16"/>
  <c r="BL181" i="16"/>
  <c r="BN180" i="16"/>
  <c r="BH182" i="16"/>
  <c r="BF183" i="16"/>
  <c r="AZ182" i="16"/>
  <c r="BB181" i="16"/>
  <c r="AV182" i="16"/>
  <c r="AT183" i="16"/>
  <c r="AN182" i="16"/>
  <c r="AP181" i="16"/>
  <c r="AH182" i="16"/>
  <c r="AJ181" i="16"/>
  <c r="AD183" i="16"/>
  <c r="AB184" i="16"/>
  <c r="X183" i="16"/>
  <c r="V184" i="16"/>
  <c r="CR183" i="16" l="1"/>
  <c r="CP184" i="16"/>
  <c r="CJ184" i="16"/>
  <c r="CL183" i="16"/>
  <c r="CF182" i="16"/>
  <c r="CD183" i="16"/>
  <c r="BZ182" i="16"/>
  <c r="BX183" i="16"/>
  <c r="BT182" i="16"/>
  <c r="BR183" i="16"/>
  <c r="BL182" i="16"/>
  <c r="BN181" i="16"/>
  <c r="BF184" i="16"/>
  <c r="BH183" i="16"/>
  <c r="BB182" i="16"/>
  <c r="AZ183" i="16"/>
  <c r="AT184" i="16"/>
  <c r="AV183" i="16"/>
  <c r="AP182" i="16"/>
  <c r="AN183" i="16"/>
  <c r="AJ182" i="16"/>
  <c r="AH183" i="16"/>
  <c r="AD184" i="16"/>
  <c r="AB185" i="16"/>
  <c r="V185" i="16"/>
  <c r="X184" i="16"/>
  <c r="CP185" i="16" l="1"/>
  <c r="CR184" i="16"/>
  <c r="CJ185" i="16"/>
  <c r="CL184" i="16"/>
  <c r="CD184" i="16"/>
  <c r="CF183" i="16"/>
  <c r="BX184" i="16"/>
  <c r="BZ183" i="16"/>
  <c r="BR184" i="16"/>
  <c r="BT183" i="16"/>
  <c r="BN182" i="16"/>
  <c r="BL183" i="16"/>
  <c r="BF185" i="16"/>
  <c r="BH184" i="16"/>
  <c r="AZ184" i="16"/>
  <c r="BB183" i="16"/>
  <c r="AT185" i="16"/>
  <c r="AV184" i="16"/>
  <c r="AN184" i="16"/>
  <c r="AP183" i="16"/>
  <c r="AJ183" i="16"/>
  <c r="AH184" i="16"/>
  <c r="AB186" i="16"/>
  <c r="AD185" i="16"/>
  <c r="X185" i="16"/>
  <c r="V186" i="16"/>
  <c r="CR185" i="16" l="1"/>
  <c r="CP186" i="16"/>
  <c r="CL185" i="16"/>
  <c r="CJ186" i="16"/>
  <c r="CD185" i="16"/>
  <c r="CF184" i="16"/>
  <c r="BX185" i="16"/>
  <c r="BZ184" i="16"/>
  <c r="BR185" i="16"/>
  <c r="BT184" i="16"/>
  <c r="BL184" i="16"/>
  <c r="BN183" i="16"/>
  <c r="BH185" i="16"/>
  <c r="BF186" i="16"/>
  <c r="AZ185" i="16"/>
  <c r="BB184" i="16"/>
  <c r="AV185" i="16"/>
  <c r="AT186" i="16"/>
  <c r="AN185" i="16"/>
  <c r="AP184" i="16"/>
  <c r="AH185" i="16"/>
  <c r="AJ184" i="16"/>
  <c r="AD186" i="16"/>
  <c r="AB187" i="16"/>
  <c r="X186" i="16"/>
  <c r="V187" i="16"/>
  <c r="CR186" i="16" l="1"/>
  <c r="CP187" i="16"/>
  <c r="CJ187" i="16"/>
  <c r="CL186" i="16"/>
  <c r="CF185" i="16"/>
  <c r="CD186" i="16"/>
  <c r="BZ185" i="16"/>
  <c r="BX186" i="16"/>
  <c r="BT185" i="16"/>
  <c r="BR186" i="16"/>
  <c r="BL185" i="16"/>
  <c r="BN184" i="16"/>
  <c r="BF187" i="16"/>
  <c r="BH186" i="16"/>
  <c r="BB185" i="16"/>
  <c r="AZ186" i="16"/>
  <c r="AT187" i="16"/>
  <c r="AV186" i="16"/>
  <c r="AP185" i="16"/>
  <c r="AN186" i="16"/>
  <c r="AJ185" i="16"/>
  <c r="AH186" i="16"/>
  <c r="AB188" i="16"/>
  <c r="AD187" i="16"/>
  <c r="X187" i="16"/>
  <c r="V188" i="16"/>
  <c r="CP188" i="16" l="1"/>
  <c r="CR187" i="16"/>
  <c r="CJ188" i="16"/>
  <c r="CL187" i="16"/>
  <c r="CD187" i="16"/>
  <c r="CF186" i="16"/>
  <c r="BX187" i="16"/>
  <c r="BZ186" i="16"/>
  <c r="BR187" i="16"/>
  <c r="BT186" i="16"/>
  <c r="BN185" i="16"/>
  <c r="BL186" i="16"/>
  <c r="BF188" i="16"/>
  <c r="BH187" i="16"/>
  <c r="BB186" i="16"/>
  <c r="AZ187" i="16"/>
  <c r="AT188" i="16"/>
  <c r="AV187" i="16"/>
  <c r="AN187" i="16"/>
  <c r="AP186" i="16"/>
  <c r="AH187" i="16"/>
  <c r="AJ186" i="16"/>
  <c r="AD188" i="16"/>
  <c r="AB189" i="16"/>
  <c r="X188" i="16"/>
  <c r="V189" i="16"/>
  <c r="CR188" i="16" l="1"/>
  <c r="CP189" i="16"/>
  <c r="CL188" i="16"/>
  <c r="CJ189" i="16"/>
  <c r="CD188" i="16"/>
  <c r="CF187" i="16"/>
  <c r="BX188" i="16"/>
  <c r="BZ187" i="16"/>
  <c r="BR188" i="16"/>
  <c r="BT187" i="16"/>
  <c r="BL187" i="16"/>
  <c r="BN186" i="16"/>
  <c r="BH188" i="16"/>
  <c r="BF189" i="16"/>
  <c r="AZ188" i="16"/>
  <c r="BB187" i="16"/>
  <c r="AV188" i="16"/>
  <c r="AT189" i="16"/>
  <c r="AN188" i="16"/>
  <c r="AP187" i="16"/>
  <c r="AH188" i="16"/>
  <c r="AJ187" i="16"/>
  <c r="AD189" i="16"/>
  <c r="AB190" i="16"/>
  <c r="X189" i="16"/>
  <c r="V190" i="16"/>
  <c r="CR189" i="16" l="1"/>
  <c r="CP190" i="16"/>
  <c r="CJ190" i="16"/>
  <c r="CL189" i="16"/>
  <c r="CF188" i="16"/>
  <c r="CD189" i="16"/>
  <c r="BZ188" i="16"/>
  <c r="BX189" i="16"/>
  <c r="BT188" i="16"/>
  <c r="BR189" i="16"/>
  <c r="BL188" i="16"/>
  <c r="BN187" i="16"/>
  <c r="BF190" i="16"/>
  <c r="BH189" i="16"/>
  <c r="BB188" i="16"/>
  <c r="AZ189" i="16"/>
  <c r="AT190" i="16"/>
  <c r="AV189" i="16"/>
  <c r="AP188" i="16"/>
  <c r="AN189" i="16"/>
  <c r="AJ188" i="16"/>
  <c r="AH189" i="16"/>
  <c r="AB191" i="16"/>
  <c r="AD190" i="16"/>
  <c r="V191" i="16"/>
  <c r="X190" i="16"/>
  <c r="CP191" i="16" l="1"/>
  <c r="CR190" i="16"/>
  <c r="CJ191" i="16"/>
  <c r="CL190" i="16"/>
  <c r="CD190" i="16"/>
  <c r="CF189" i="16"/>
  <c r="BX190" i="16"/>
  <c r="BZ189" i="16"/>
  <c r="BR190" i="16"/>
  <c r="BT189" i="16"/>
  <c r="BN188" i="16"/>
  <c r="BL189" i="16"/>
  <c r="BF191" i="16"/>
  <c r="BH190" i="16"/>
  <c r="BB189" i="16"/>
  <c r="AZ190" i="16"/>
  <c r="AT191" i="16"/>
  <c r="AV190" i="16"/>
  <c r="AN190" i="16"/>
  <c r="AP189" i="16"/>
  <c r="AJ189" i="16"/>
  <c r="AH190" i="16"/>
  <c r="AD191" i="16"/>
  <c r="AB192" i="16"/>
  <c r="X191" i="16"/>
  <c r="V192" i="16"/>
  <c r="CR191" i="16" l="1"/>
  <c r="CP192" i="16"/>
  <c r="CL191" i="16"/>
  <c r="CJ192" i="16"/>
  <c r="CD191" i="16"/>
  <c r="CF190" i="16"/>
  <c r="BX191" i="16"/>
  <c r="BZ190" i="16"/>
  <c r="BR191" i="16"/>
  <c r="BT190" i="16"/>
  <c r="BL190" i="16"/>
  <c r="BN189" i="16"/>
  <c r="BH191" i="16"/>
  <c r="BF192" i="16"/>
  <c r="AZ191" i="16"/>
  <c r="BB190" i="16"/>
  <c r="AV191" i="16"/>
  <c r="AT192" i="16"/>
  <c r="AN191" i="16"/>
  <c r="AP190" i="16"/>
  <c r="AH191" i="16"/>
  <c r="AJ190" i="16"/>
  <c r="AD192" i="16"/>
  <c r="AB193" i="16"/>
  <c r="X192" i="16"/>
  <c r="V193" i="16"/>
  <c r="CP193" i="16" l="1"/>
  <c r="CR192" i="16"/>
  <c r="CJ193" i="16"/>
  <c r="CL192" i="16"/>
  <c r="CF191" i="16"/>
  <c r="CD192" i="16"/>
  <c r="BZ191" i="16"/>
  <c r="BX192" i="16"/>
  <c r="BT191" i="16"/>
  <c r="BR192" i="16"/>
  <c r="BL191" i="16"/>
  <c r="BN190" i="16"/>
  <c r="BF193" i="16"/>
  <c r="BH192" i="16"/>
  <c r="BB191" i="16"/>
  <c r="AZ192" i="16"/>
  <c r="AT193" i="16"/>
  <c r="AV192" i="16"/>
  <c r="AP191" i="16"/>
  <c r="AN192" i="16"/>
  <c r="AJ191" i="16"/>
  <c r="AH192" i="16"/>
  <c r="AB194" i="16"/>
  <c r="AD193" i="16"/>
  <c r="V194" i="16"/>
  <c r="X193" i="16"/>
  <c r="CP194" i="16" l="1"/>
  <c r="CR193" i="16"/>
  <c r="CJ194" i="16"/>
  <c r="CL193" i="16"/>
  <c r="CD193" i="16"/>
  <c r="CF192" i="16"/>
  <c r="BX193" i="16"/>
  <c r="BZ192" i="16"/>
  <c r="BR193" i="16"/>
  <c r="BT192" i="16"/>
  <c r="BN191" i="16"/>
  <c r="BL192" i="16"/>
  <c r="BF194" i="16"/>
  <c r="BH193" i="16"/>
  <c r="BB192" i="16"/>
  <c r="AZ193" i="16"/>
  <c r="AT194" i="16"/>
  <c r="AV193" i="16"/>
  <c r="AN193" i="16"/>
  <c r="AP192" i="16"/>
  <c r="AH193" i="16"/>
  <c r="AJ192" i="16"/>
  <c r="AD194" i="16"/>
  <c r="AB195" i="16"/>
  <c r="X194" i="16"/>
  <c r="V195" i="16"/>
  <c r="CR194" i="16" l="1"/>
  <c r="CP195" i="16"/>
  <c r="CL194" i="16"/>
  <c r="CJ195" i="16"/>
  <c r="CD194" i="16"/>
  <c r="CF193" i="16"/>
  <c r="BX194" i="16"/>
  <c r="BZ193" i="16"/>
  <c r="BR194" i="16"/>
  <c r="BT193" i="16"/>
  <c r="BL193" i="16"/>
  <c r="BN192" i="16"/>
  <c r="BH194" i="16"/>
  <c r="BF195" i="16"/>
  <c r="AZ194" i="16"/>
  <c r="BB193" i="16"/>
  <c r="AV194" i="16"/>
  <c r="AT195" i="16"/>
  <c r="AN194" i="16"/>
  <c r="AP193" i="16"/>
  <c r="AH194" i="16"/>
  <c r="AJ193" i="16"/>
  <c r="AD195" i="16"/>
  <c r="AB196" i="16"/>
  <c r="X195" i="16"/>
  <c r="V196" i="16"/>
  <c r="CR195" i="16" l="1"/>
  <c r="CP196" i="16"/>
  <c r="CJ196" i="16"/>
  <c r="CL195" i="16"/>
  <c r="CF194" i="16"/>
  <c r="CD195" i="16"/>
  <c r="BZ194" i="16"/>
  <c r="BX195" i="16"/>
  <c r="BT194" i="16"/>
  <c r="BR195" i="16"/>
  <c r="BL194" i="16"/>
  <c r="BN193" i="16"/>
  <c r="BF196" i="16"/>
  <c r="BH195" i="16"/>
  <c r="BB194" i="16"/>
  <c r="AZ195" i="16"/>
  <c r="AT196" i="16"/>
  <c r="AV195" i="16"/>
  <c r="AP194" i="16"/>
  <c r="AN195" i="16"/>
  <c r="AJ194" i="16"/>
  <c r="AH195" i="16"/>
  <c r="AB197" i="16"/>
  <c r="AD196" i="16"/>
  <c r="X196" i="16"/>
  <c r="V197" i="16"/>
  <c r="CP197" i="16" l="1"/>
  <c r="CR196" i="16"/>
  <c r="CJ197" i="16"/>
  <c r="CL196" i="16"/>
  <c r="CD196" i="16"/>
  <c r="CF195" i="16"/>
  <c r="BX196" i="16"/>
  <c r="BZ195" i="16"/>
  <c r="BR196" i="16"/>
  <c r="BT195" i="16"/>
  <c r="BN194" i="16"/>
  <c r="BL195" i="16"/>
  <c r="BF197" i="16"/>
  <c r="BH196" i="16"/>
  <c r="AZ196" i="16"/>
  <c r="BB195" i="16"/>
  <c r="AT197" i="16"/>
  <c r="AV196" i="16"/>
  <c r="AN196" i="16"/>
  <c r="AP195" i="16"/>
  <c r="AJ195" i="16"/>
  <c r="AH196" i="16"/>
  <c r="AD197" i="16"/>
  <c r="AB198" i="16"/>
  <c r="X197" i="16"/>
  <c r="V198" i="16"/>
  <c r="CR197" i="16" l="1"/>
  <c r="CP198" i="16"/>
  <c r="CL197" i="16"/>
  <c r="CJ198" i="16"/>
  <c r="CD197" i="16"/>
  <c r="CF196" i="16"/>
  <c r="BX197" i="16"/>
  <c r="BZ196" i="16"/>
  <c r="BR197" i="16"/>
  <c r="BT196" i="16"/>
  <c r="BL196" i="16"/>
  <c r="BN195" i="16"/>
  <c r="BH197" i="16"/>
  <c r="BF198" i="16"/>
  <c r="AZ197" i="16"/>
  <c r="BB196" i="16"/>
  <c r="AV197" i="16"/>
  <c r="AT198" i="16"/>
  <c r="AN197" i="16"/>
  <c r="AP196" i="16"/>
  <c r="AH197" i="16"/>
  <c r="AJ196" i="16"/>
  <c r="AD198" i="16"/>
  <c r="AB199" i="16"/>
  <c r="X198" i="16"/>
  <c r="V199" i="16"/>
  <c r="CP199" i="16" l="1"/>
  <c r="CR198" i="16"/>
  <c r="CJ199" i="16"/>
  <c r="CL198" i="16"/>
  <c r="CD198" i="16"/>
  <c r="CF197" i="16"/>
  <c r="BZ197" i="16"/>
  <c r="BX198" i="16"/>
  <c r="BT197" i="16"/>
  <c r="BR198" i="16"/>
  <c r="BL197" i="16"/>
  <c r="BN196" i="16"/>
  <c r="BF199" i="16"/>
  <c r="BH198" i="16"/>
  <c r="BB197" i="16"/>
  <c r="AZ198" i="16"/>
  <c r="AT199" i="16"/>
  <c r="AV198" i="16"/>
  <c r="AP197" i="16"/>
  <c r="AN198" i="16"/>
  <c r="AJ197" i="16"/>
  <c r="AH198" i="16"/>
  <c r="AB200" i="16"/>
  <c r="AD199" i="16"/>
  <c r="V200" i="16"/>
  <c r="X199" i="16"/>
  <c r="AD200" i="16" l="1"/>
  <c r="AB201" i="16"/>
  <c r="X200" i="16"/>
  <c r="V201" i="16"/>
  <c r="CP200" i="16"/>
  <c r="CR199" i="16"/>
  <c r="CJ200" i="16"/>
  <c r="CL199" i="16"/>
  <c r="CD199" i="16"/>
  <c r="CF198" i="16"/>
  <c r="BX199" i="16"/>
  <c r="BZ198" i="16"/>
  <c r="BR199" i="16"/>
  <c r="BT198" i="16"/>
  <c r="BN197" i="16"/>
  <c r="BL198" i="16"/>
  <c r="BF200" i="16"/>
  <c r="BH199" i="16"/>
  <c r="BB198" i="16"/>
  <c r="AZ199" i="16"/>
  <c r="AT200" i="16"/>
  <c r="AV199" i="16"/>
  <c r="AN199" i="16"/>
  <c r="AP198" i="16"/>
  <c r="AJ198" i="16"/>
  <c r="AH199" i="16"/>
  <c r="X201" i="16" l="1"/>
  <c r="V202" i="16"/>
  <c r="AB202" i="16"/>
  <c r="AD201" i="16"/>
  <c r="CR200" i="16"/>
  <c r="CP201" i="16"/>
  <c r="CL200" i="16"/>
  <c r="CJ201" i="16"/>
  <c r="CD200" i="16"/>
  <c r="CF199" i="16"/>
  <c r="BX200" i="16"/>
  <c r="BZ199" i="16"/>
  <c r="BR200" i="16"/>
  <c r="BT199" i="16"/>
  <c r="BL199" i="16"/>
  <c r="BN198" i="16"/>
  <c r="BH200" i="16"/>
  <c r="BF201" i="16"/>
  <c r="AZ200" i="16"/>
  <c r="BB199" i="16"/>
  <c r="AV200" i="16"/>
  <c r="AT201" i="16"/>
  <c r="AN200" i="16"/>
  <c r="AP199" i="16"/>
  <c r="AH200" i="16"/>
  <c r="AJ199" i="16"/>
  <c r="AD202" i="16" l="1"/>
  <c r="AB203" i="16"/>
  <c r="X202" i="16"/>
  <c r="V203" i="16"/>
  <c r="CP202" i="16"/>
  <c r="CR201" i="16"/>
  <c r="CJ202" i="16"/>
  <c r="CL201" i="16"/>
  <c r="CF200" i="16"/>
  <c r="CD201" i="16"/>
  <c r="BZ200" i="16"/>
  <c r="BX201" i="16"/>
  <c r="BT200" i="16"/>
  <c r="BR201" i="16"/>
  <c r="BL200" i="16"/>
  <c r="BN199" i="16"/>
  <c r="BF202" i="16"/>
  <c r="BH201" i="16"/>
  <c r="BB200" i="16"/>
  <c r="AZ201" i="16"/>
  <c r="AT202" i="16"/>
  <c r="AV201" i="16"/>
  <c r="AP200" i="16"/>
  <c r="AN201" i="16"/>
  <c r="AJ200" i="16"/>
  <c r="AH201" i="16"/>
  <c r="V204" i="16" l="1"/>
  <c r="X203" i="16"/>
  <c r="AB204" i="16"/>
  <c r="AD203" i="16"/>
  <c r="CP203" i="16"/>
  <c r="CR202" i="16"/>
  <c r="CJ203" i="16"/>
  <c r="CL202" i="16"/>
  <c r="CD202" i="16"/>
  <c r="CF201" i="16"/>
  <c r="BX202" i="16"/>
  <c r="BZ201" i="16"/>
  <c r="BR202" i="16"/>
  <c r="BT201" i="16"/>
  <c r="BN200" i="16"/>
  <c r="BL201" i="16"/>
  <c r="BF203" i="16"/>
  <c r="BH202" i="16"/>
  <c r="BB201" i="16"/>
  <c r="AZ202" i="16"/>
  <c r="AT203" i="16"/>
  <c r="AV202" i="16"/>
  <c r="AP201" i="16"/>
  <c r="AN202" i="16"/>
  <c r="AJ201" i="16"/>
  <c r="AH202" i="16"/>
  <c r="AD204" i="16" l="1"/>
  <c r="AB205" i="16"/>
  <c r="X204" i="16"/>
  <c r="V205" i="16"/>
  <c r="CR203" i="16"/>
  <c r="CP204" i="16"/>
  <c r="CL203" i="16"/>
  <c r="CJ204" i="16"/>
  <c r="CD203" i="16"/>
  <c r="CF202" i="16"/>
  <c r="BX203" i="16"/>
  <c r="BZ202" i="16"/>
  <c r="BR203" i="16"/>
  <c r="BT202" i="16"/>
  <c r="BL202" i="16"/>
  <c r="BN201" i="16"/>
  <c r="BH203" i="16"/>
  <c r="BF204" i="16"/>
  <c r="AZ203" i="16"/>
  <c r="BB202" i="16"/>
  <c r="AV203" i="16"/>
  <c r="AT204" i="16"/>
  <c r="AP202" i="16"/>
  <c r="AN203" i="16"/>
  <c r="AH203" i="16"/>
  <c r="AJ202" i="16"/>
  <c r="V206" i="16" l="1"/>
  <c r="X205" i="16"/>
  <c r="AD205" i="16"/>
  <c r="AB206" i="16"/>
  <c r="CR204" i="16"/>
  <c r="CP205" i="16"/>
  <c r="CL204" i="16"/>
  <c r="CJ205" i="16"/>
  <c r="CF203" i="16"/>
  <c r="CD204" i="16"/>
  <c r="BX204" i="16"/>
  <c r="BZ203" i="16"/>
  <c r="BT203" i="16"/>
  <c r="BR204" i="16"/>
  <c r="BL203" i="16"/>
  <c r="BN202" i="16"/>
  <c r="BF205" i="16"/>
  <c r="BH204" i="16"/>
  <c r="BB203" i="16"/>
  <c r="AZ204" i="16"/>
  <c r="AT205" i="16"/>
  <c r="AV204" i="16"/>
  <c r="AN204" i="16"/>
  <c r="AP203" i="16"/>
  <c r="AH204" i="16"/>
  <c r="AJ203" i="16"/>
  <c r="AB207" i="16" l="1"/>
  <c r="AD206" i="16"/>
  <c r="V207" i="16"/>
  <c r="X206" i="16"/>
  <c r="CP206" i="16"/>
  <c r="CR205" i="16"/>
  <c r="CJ206" i="16"/>
  <c r="CL205" i="16"/>
  <c r="CD205" i="16"/>
  <c r="CF204" i="16"/>
  <c r="BX205" i="16"/>
  <c r="BZ204" i="16"/>
  <c r="BR205" i="16"/>
  <c r="BT204" i="16"/>
  <c r="BN203" i="16"/>
  <c r="BL204" i="16"/>
  <c r="BF206" i="16"/>
  <c r="BH205" i="16"/>
  <c r="AZ205" i="16"/>
  <c r="BB204" i="16"/>
  <c r="AV205" i="16"/>
  <c r="AT206" i="16"/>
  <c r="AN205" i="16"/>
  <c r="AP204" i="16"/>
  <c r="AJ204" i="16"/>
  <c r="AH205" i="16"/>
  <c r="AD207" i="16" l="1"/>
  <c r="AB208" i="16"/>
  <c r="X207" i="16"/>
  <c r="V208" i="16"/>
  <c r="CR206" i="16"/>
  <c r="CP207" i="16"/>
  <c r="CL206" i="16"/>
  <c r="CJ207" i="16"/>
  <c r="CD206" i="16"/>
  <c r="CF205" i="16"/>
  <c r="BX206" i="16"/>
  <c r="BZ205" i="16"/>
  <c r="BR206" i="16"/>
  <c r="BT205" i="16"/>
  <c r="BL205" i="16"/>
  <c r="BN204" i="16"/>
  <c r="BH206" i="16"/>
  <c r="BF207" i="16"/>
  <c r="AZ206" i="16"/>
  <c r="BB205" i="16"/>
  <c r="AV206" i="16"/>
  <c r="AT207" i="16"/>
  <c r="AP205" i="16"/>
  <c r="AN206" i="16"/>
  <c r="AJ205" i="16"/>
  <c r="AH206" i="16"/>
  <c r="X208" i="16" l="1"/>
  <c r="V209" i="16"/>
  <c r="AB209" i="16"/>
  <c r="AD208" i="16"/>
  <c r="CP208" i="16"/>
  <c r="CR207" i="16"/>
  <c r="CJ208" i="16"/>
  <c r="CL207" i="16"/>
  <c r="CF206" i="16"/>
  <c r="CD207" i="16"/>
  <c r="BZ206" i="16"/>
  <c r="BX207" i="16"/>
  <c r="BT206" i="16"/>
  <c r="BR207" i="16"/>
  <c r="BL206" i="16"/>
  <c r="BN205" i="16"/>
  <c r="BF208" i="16"/>
  <c r="BH207" i="16"/>
  <c r="BB206" i="16"/>
  <c r="AZ207" i="16"/>
  <c r="AT208" i="16"/>
  <c r="AV207" i="16"/>
  <c r="AN207" i="16"/>
  <c r="AP206" i="16"/>
  <c r="AH207" i="16"/>
  <c r="AJ206" i="16"/>
  <c r="AB210" i="16" l="1"/>
  <c r="AD209" i="16"/>
  <c r="V210" i="16"/>
  <c r="X209" i="16"/>
  <c r="CP209" i="16"/>
  <c r="CR208" i="16"/>
  <c r="CJ209" i="16"/>
  <c r="CL208" i="16"/>
  <c r="CD208" i="16"/>
  <c r="CF207" i="16"/>
  <c r="BX208" i="16"/>
  <c r="BZ207" i="16"/>
  <c r="BR208" i="16"/>
  <c r="BT207" i="16"/>
  <c r="BN206" i="16"/>
  <c r="BL207" i="16"/>
  <c r="BF209" i="16"/>
  <c r="BH208" i="16"/>
  <c r="BB207" i="16"/>
  <c r="AZ208" i="16"/>
  <c r="AT209" i="16"/>
  <c r="AV208" i="16"/>
  <c r="AP207" i="16"/>
  <c r="AN208" i="16"/>
  <c r="AJ207" i="16"/>
  <c r="AH208" i="16"/>
  <c r="V211" i="16" l="1"/>
  <c r="X210" i="16"/>
  <c r="AD210" i="16"/>
  <c r="AB211" i="16"/>
  <c r="CR209" i="16"/>
  <c r="CP210" i="16"/>
  <c r="CL209" i="16"/>
  <c r="CJ210" i="16"/>
  <c r="CD209" i="16"/>
  <c r="CF208" i="16"/>
  <c r="BX209" i="16"/>
  <c r="BZ208" i="16"/>
  <c r="BR209" i="16"/>
  <c r="BT208" i="16"/>
  <c r="BL208" i="16"/>
  <c r="BN207" i="16"/>
  <c r="BH209" i="16"/>
  <c r="BF210" i="16"/>
  <c r="AZ209" i="16"/>
  <c r="BB208" i="16"/>
  <c r="AV209" i="16"/>
  <c r="AT210" i="16"/>
  <c r="AP208" i="16"/>
  <c r="AN209" i="16"/>
  <c r="AJ208" i="16"/>
  <c r="AH209" i="16"/>
  <c r="AB212" i="16" l="1"/>
  <c r="AD211" i="16"/>
  <c r="V212" i="16"/>
  <c r="X211" i="16"/>
  <c r="CP211" i="16"/>
  <c r="CR210" i="16"/>
  <c r="CL210" i="16"/>
  <c r="CJ211" i="16"/>
  <c r="CF209" i="16"/>
  <c r="CD210" i="16"/>
  <c r="BZ209" i="16"/>
  <c r="BX210" i="16"/>
  <c r="BT209" i="16"/>
  <c r="BR210" i="16"/>
  <c r="BL209" i="16"/>
  <c r="BN208" i="16"/>
  <c r="BF211" i="16"/>
  <c r="BH210" i="16"/>
  <c r="BB209" i="16"/>
  <c r="AZ210" i="16"/>
  <c r="AT211" i="16"/>
  <c r="AV210" i="16"/>
  <c r="AN210" i="16"/>
  <c r="AP209" i="16"/>
  <c r="AJ209" i="16"/>
  <c r="AH210" i="16"/>
  <c r="V213" i="16" l="1"/>
  <c r="X212" i="16"/>
  <c r="AB213" i="16"/>
  <c r="AD212" i="16"/>
  <c r="CP212" i="16"/>
  <c r="CR211" i="16"/>
  <c r="CJ212" i="16"/>
  <c r="CL211" i="16"/>
  <c r="CD211" i="16"/>
  <c r="CF210" i="16"/>
  <c r="BX211" i="16"/>
  <c r="BZ210" i="16"/>
  <c r="BR211" i="16"/>
  <c r="BT210" i="16"/>
  <c r="BN209" i="16"/>
  <c r="BL210" i="16"/>
  <c r="BF212" i="16"/>
  <c r="BH211" i="16"/>
  <c r="AZ211" i="16"/>
  <c r="BB210" i="16"/>
  <c r="AT212" i="16"/>
  <c r="AV211" i="16"/>
  <c r="AN211" i="16"/>
  <c r="AP210" i="16"/>
  <c r="AJ210" i="16"/>
  <c r="AH211" i="16"/>
  <c r="AD213" i="16" l="1"/>
  <c r="AB214" i="16"/>
  <c r="X213" i="16"/>
  <c r="V214" i="16"/>
  <c r="CR212" i="16"/>
  <c r="CP213" i="16"/>
  <c r="CL212" i="16"/>
  <c r="CJ213" i="16"/>
  <c r="CD212" i="16"/>
  <c r="CF211" i="16"/>
  <c r="BX212" i="16"/>
  <c r="BZ211" i="16"/>
  <c r="BR212" i="16"/>
  <c r="BT211" i="16"/>
  <c r="BL211" i="16"/>
  <c r="BN210" i="16"/>
  <c r="BH212" i="16"/>
  <c r="BF213" i="16"/>
  <c r="AZ212" i="16"/>
  <c r="BB211" i="16"/>
  <c r="AV212" i="16"/>
  <c r="AT213" i="16"/>
  <c r="AP211" i="16"/>
  <c r="AN212" i="16"/>
  <c r="AJ211" i="16"/>
  <c r="AH212" i="16"/>
  <c r="AD214" i="16" l="1"/>
  <c r="AB215" i="16"/>
  <c r="X214" i="16"/>
  <c r="V215" i="16"/>
  <c r="CR213" i="16"/>
  <c r="CP214" i="16"/>
  <c r="CL213" i="16"/>
  <c r="CJ214" i="16"/>
  <c r="CF212" i="16"/>
  <c r="CD213" i="16"/>
  <c r="BZ212" i="16"/>
  <c r="BX213" i="16"/>
  <c r="BT212" i="16"/>
  <c r="BR213" i="16"/>
  <c r="BL212" i="16"/>
  <c r="BN211" i="16"/>
  <c r="BF214" i="16"/>
  <c r="BH213" i="16"/>
  <c r="BB212" i="16"/>
  <c r="AZ213" i="16"/>
  <c r="AT214" i="16"/>
  <c r="AV213" i="16"/>
  <c r="AN213" i="16"/>
  <c r="AP212" i="16"/>
  <c r="AH213" i="16"/>
  <c r="AJ212" i="16"/>
  <c r="V216" i="16" l="1"/>
  <c r="X215" i="16"/>
  <c r="AB216" i="16"/>
  <c r="AD215" i="16"/>
  <c r="CP215" i="16"/>
  <c r="CR214" i="16"/>
  <c r="CJ215" i="16"/>
  <c r="CL214" i="16"/>
  <c r="CD214" i="16"/>
  <c r="CF213" i="16"/>
  <c r="BX214" i="16"/>
  <c r="BZ213" i="16"/>
  <c r="BR214" i="16"/>
  <c r="BT213" i="16"/>
  <c r="BN212" i="16"/>
  <c r="BL213" i="16"/>
  <c r="BF215" i="16"/>
  <c r="BH214" i="16"/>
  <c r="AZ214" i="16"/>
  <c r="BB213" i="16"/>
  <c r="AV214" i="16"/>
  <c r="AT215" i="16"/>
  <c r="AP213" i="16"/>
  <c r="AN214" i="16"/>
  <c r="AJ213" i="16"/>
  <c r="AH214" i="16"/>
  <c r="AD216" i="16" l="1"/>
  <c r="AB217" i="16"/>
  <c r="V217" i="16"/>
  <c r="X216" i="16"/>
  <c r="CR215" i="16"/>
  <c r="CP216" i="16"/>
  <c r="CL215" i="16"/>
  <c r="CJ216" i="16"/>
  <c r="CD215" i="16"/>
  <c r="CF214" i="16"/>
  <c r="BX215" i="16"/>
  <c r="BZ214" i="16"/>
  <c r="BR215" i="16"/>
  <c r="BT214" i="16"/>
  <c r="BL214" i="16"/>
  <c r="BN213" i="16"/>
  <c r="BH215" i="16"/>
  <c r="BF216" i="16"/>
  <c r="AZ215" i="16"/>
  <c r="BB214" i="16"/>
  <c r="AV215" i="16"/>
  <c r="AT216" i="16"/>
  <c r="AP214" i="16"/>
  <c r="AN215" i="16"/>
  <c r="AH215" i="16"/>
  <c r="AJ214" i="16"/>
  <c r="AD217" i="16" l="1"/>
  <c r="AB218" i="16"/>
  <c r="X217" i="16"/>
  <c r="V218" i="16"/>
  <c r="CP217" i="16"/>
  <c r="CR216" i="16"/>
  <c r="CL216" i="16"/>
  <c r="CJ217" i="16"/>
  <c r="CF215" i="16"/>
  <c r="CD216" i="16"/>
  <c r="BZ215" i="16"/>
  <c r="BX216" i="16"/>
  <c r="BT215" i="16"/>
  <c r="BR216" i="16"/>
  <c r="BL215" i="16"/>
  <c r="BN214" i="16"/>
  <c r="BF217" i="16"/>
  <c r="BH216" i="16"/>
  <c r="BB215" i="16"/>
  <c r="AZ216" i="16"/>
  <c r="AT217" i="16"/>
  <c r="AV216" i="16"/>
  <c r="AN216" i="16"/>
  <c r="AP215" i="16"/>
  <c r="AH216" i="16"/>
  <c r="AJ215" i="16"/>
  <c r="X218" i="16" l="1"/>
  <c r="V219" i="16"/>
  <c r="AB219" i="16"/>
  <c r="AD218" i="16"/>
  <c r="CP218" i="16"/>
  <c r="CR217" i="16"/>
  <c r="CJ218" i="16"/>
  <c r="CL217" i="16"/>
  <c r="CD217" i="16"/>
  <c r="CF216" i="16"/>
  <c r="BX217" i="16"/>
  <c r="BZ216" i="16"/>
  <c r="BR217" i="16"/>
  <c r="BT216" i="16"/>
  <c r="BN215" i="16"/>
  <c r="BL216" i="16"/>
  <c r="BF218" i="16"/>
  <c r="BH217" i="16"/>
  <c r="AZ217" i="16"/>
  <c r="BB216" i="16"/>
  <c r="AV217" i="16"/>
  <c r="AT218" i="16"/>
  <c r="AP216" i="16"/>
  <c r="AN217" i="16"/>
  <c r="AH217" i="16"/>
  <c r="AJ216" i="16"/>
  <c r="AD219" i="16" l="1"/>
  <c r="AB220" i="16"/>
  <c r="V220" i="16"/>
  <c r="X219" i="16"/>
  <c r="CR218" i="16"/>
  <c r="CP219" i="16"/>
  <c r="CL218" i="16"/>
  <c r="CJ219" i="16"/>
  <c r="CD218" i="16"/>
  <c r="CF217" i="16"/>
  <c r="BX218" i="16"/>
  <c r="BZ217" i="16"/>
  <c r="BR218" i="16"/>
  <c r="BT217" i="16"/>
  <c r="BL217" i="16"/>
  <c r="BN216" i="16"/>
  <c r="BH218" i="16"/>
  <c r="BF219" i="16"/>
  <c r="AZ218" i="16"/>
  <c r="BB217" i="16"/>
  <c r="AV218" i="16"/>
  <c r="AT219" i="16"/>
  <c r="AP217" i="16"/>
  <c r="AN218" i="16"/>
  <c r="AJ217" i="16"/>
  <c r="AH218" i="16"/>
  <c r="AD220" i="16" l="1"/>
  <c r="AB221" i="16"/>
  <c r="V221" i="16"/>
  <c r="X220" i="16"/>
  <c r="CR219" i="16"/>
  <c r="CP220" i="16"/>
  <c r="CL219" i="16"/>
  <c r="CJ220" i="16"/>
  <c r="CF218" i="16"/>
  <c r="CD219" i="16"/>
  <c r="BZ218" i="16"/>
  <c r="BX219" i="16"/>
  <c r="BT218" i="16"/>
  <c r="BR219" i="16"/>
  <c r="BL218" i="16"/>
  <c r="BN217" i="16"/>
  <c r="BF220" i="16"/>
  <c r="BH219" i="16"/>
  <c r="BB218" i="16"/>
  <c r="AZ219" i="16"/>
  <c r="AT220" i="16"/>
  <c r="AV219" i="16"/>
  <c r="AN219" i="16"/>
  <c r="AP218" i="16"/>
  <c r="AH219" i="16"/>
  <c r="AJ218" i="16"/>
  <c r="X221" i="16" l="1"/>
  <c r="V222" i="16"/>
  <c r="AB222" i="16"/>
  <c r="AD221" i="16"/>
  <c r="CP221" i="16"/>
  <c r="CR220" i="16"/>
  <c r="CJ221" i="16"/>
  <c r="CL220" i="16"/>
  <c r="CD220" i="16"/>
  <c r="CF219" i="16"/>
  <c r="BX220" i="16"/>
  <c r="BZ219" i="16"/>
  <c r="BR220" i="16"/>
  <c r="BT219" i="16"/>
  <c r="BN218" i="16"/>
  <c r="BL219" i="16"/>
  <c r="BF221" i="16"/>
  <c r="BH220" i="16"/>
  <c r="BB219" i="16"/>
  <c r="AZ220" i="16"/>
  <c r="AV220" i="16"/>
  <c r="AT221" i="16"/>
  <c r="AP219" i="16"/>
  <c r="AN220" i="16"/>
  <c r="AJ219" i="16"/>
  <c r="AH220" i="16"/>
  <c r="V223" i="16" l="1"/>
  <c r="X222" i="16"/>
  <c r="AD222" i="16"/>
  <c r="AB223" i="16"/>
  <c r="CR221" i="16"/>
  <c r="CP222" i="16"/>
  <c r="CL221" i="16"/>
  <c r="CJ222" i="16"/>
  <c r="CD221" i="16"/>
  <c r="CF220" i="16"/>
  <c r="BX221" i="16"/>
  <c r="BZ220" i="16"/>
  <c r="BR221" i="16"/>
  <c r="BT220" i="16"/>
  <c r="BL220" i="16"/>
  <c r="BN219" i="16"/>
  <c r="BH221" i="16"/>
  <c r="BF222" i="16"/>
  <c r="AZ221" i="16"/>
  <c r="BB220" i="16"/>
  <c r="AV221" i="16"/>
  <c r="AT222" i="16"/>
  <c r="AP220" i="16"/>
  <c r="AN221" i="16"/>
  <c r="AJ220" i="16"/>
  <c r="AH221" i="16"/>
  <c r="AD223" i="16" l="1"/>
  <c r="AB224" i="16"/>
  <c r="V224" i="16"/>
  <c r="X223" i="16"/>
  <c r="CR222" i="16"/>
  <c r="CP223" i="16"/>
  <c r="CL222" i="16"/>
  <c r="CJ223" i="16"/>
  <c r="CF221" i="16"/>
  <c r="CD222" i="16"/>
  <c r="BZ221" i="16"/>
  <c r="BX222" i="16"/>
  <c r="BT221" i="16"/>
  <c r="BR222" i="16"/>
  <c r="BL221" i="16"/>
  <c r="BN220" i="16"/>
  <c r="BF223" i="16"/>
  <c r="BH222" i="16"/>
  <c r="BB221" i="16"/>
  <c r="AZ222" i="16"/>
  <c r="AT223" i="16"/>
  <c r="AV222" i="16"/>
  <c r="AN222" i="16"/>
  <c r="AP221" i="16"/>
  <c r="AJ221" i="16"/>
  <c r="AH222" i="16"/>
  <c r="AB225" i="16" l="1"/>
  <c r="AD224" i="16"/>
  <c r="X224" i="16"/>
  <c r="V225" i="16"/>
  <c r="CP224" i="16"/>
  <c r="CR223" i="16"/>
  <c r="CJ224" i="16"/>
  <c r="CL223" i="16"/>
  <c r="CD223" i="16"/>
  <c r="CF222" i="16"/>
  <c r="BX223" i="16"/>
  <c r="BZ222" i="16"/>
  <c r="BR223" i="16"/>
  <c r="BT222" i="16"/>
  <c r="BN221" i="16"/>
  <c r="BL222" i="16"/>
  <c r="BF224" i="16"/>
  <c r="BH223" i="16"/>
  <c r="BB222" i="16"/>
  <c r="AZ223" i="16"/>
  <c r="AT224" i="16"/>
  <c r="AV223" i="16"/>
  <c r="AP222" i="16"/>
  <c r="AN223" i="16"/>
  <c r="AJ222" i="16"/>
  <c r="AH223" i="16"/>
  <c r="AD225" i="16" l="1"/>
  <c r="AB226" i="16"/>
  <c r="V226" i="16"/>
  <c r="X225" i="16"/>
  <c r="CR224" i="16"/>
  <c r="CP225" i="16"/>
  <c r="CL224" i="16"/>
  <c r="CJ225" i="16"/>
  <c r="CD224" i="16"/>
  <c r="CF223" i="16"/>
  <c r="BX224" i="16"/>
  <c r="BZ223" i="16"/>
  <c r="BR224" i="16"/>
  <c r="BT223" i="16"/>
  <c r="BL223" i="16"/>
  <c r="BN222" i="16"/>
  <c r="BH224" i="16"/>
  <c r="BF225" i="16"/>
  <c r="AZ224" i="16"/>
  <c r="BB223" i="16"/>
  <c r="AV224" i="16"/>
  <c r="AT225" i="16"/>
  <c r="AP223" i="16"/>
  <c r="AN224" i="16"/>
  <c r="AH224" i="16"/>
  <c r="AJ223" i="16"/>
  <c r="V227" i="16" l="1"/>
  <c r="X226" i="16"/>
  <c r="AD226" i="16"/>
  <c r="AB227" i="16"/>
  <c r="CR225" i="16"/>
  <c r="CP226" i="16"/>
  <c r="CJ226" i="16"/>
  <c r="CL225" i="16"/>
  <c r="CF224" i="16"/>
  <c r="CD225" i="16"/>
  <c r="BZ224" i="16"/>
  <c r="BX225" i="16"/>
  <c r="BT224" i="16"/>
  <c r="BR225" i="16"/>
  <c r="BL224" i="16"/>
  <c r="BN223" i="16"/>
  <c r="BF226" i="16"/>
  <c r="BH225" i="16"/>
  <c r="BB224" i="16"/>
  <c r="AZ225" i="16"/>
  <c r="AT226" i="16"/>
  <c r="AV225" i="16"/>
  <c r="AN225" i="16"/>
  <c r="AP224" i="16"/>
  <c r="AH225" i="16"/>
  <c r="AJ224" i="16"/>
  <c r="X227" i="16" l="1"/>
  <c r="V228" i="16"/>
  <c r="AB228" i="16"/>
  <c r="AD227" i="16"/>
  <c r="CP227" i="16"/>
  <c r="CR226" i="16"/>
  <c r="CJ227" i="16"/>
  <c r="CL226" i="16"/>
  <c r="CD226" i="16"/>
  <c r="CF225" i="16"/>
  <c r="BX226" i="16"/>
  <c r="BZ225" i="16"/>
  <c r="BR226" i="16"/>
  <c r="BT225" i="16"/>
  <c r="BN224" i="16"/>
  <c r="BL225" i="16"/>
  <c r="BF227" i="16"/>
  <c r="BH226" i="16"/>
  <c r="BB225" i="16"/>
  <c r="AZ226" i="16"/>
  <c r="AT227" i="16"/>
  <c r="AV226" i="16"/>
  <c r="AP225" i="16"/>
  <c r="AN226" i="16"/>
  <c r="AJ225" i="16"/>
  <c r="AH226" i="16"/>
  <c r="AD228" i="16" l="1"/>
  <c r="AB229" i="16"/>
  <c r="V229" i="16"/>
  <c r="X228" i="16"/>
  <c r="CR227" i="16"/>
  <c r="CP228" i="16"/>
  <c r="CL227" i="16"/>
  <c r="CJ228" i="16"/>
  <c r="CD227" i="16"/>
  <c r="CF226" i="16"/>
  <c r="BX227" i="16"/>
  <c r="BZ226" i="16"/>
  <c r="BR227" i="16"/>
  <c r="BT226" i="16"/>
  <c r="BL226" i="16"/>
  <c r="BN225" i="16"/>
  <c r="BH227" i="16"/>
  <c r="BF228" i="16"/>
  <c r="AZ227" i="16"/>
  <c r="BB226" i="16"/>
  <c r="AV227" i="16"/>
  <c r="AT228" i="16"/>
  <c r="AP226" i="16"/>
  <c r="AN227" i="16"/>
  <c r="AH227" i="16"/>
  <c r="AJ226" i="16"/>
  <c r="V230" i="16" l="1"/>
  <c r="X230" i="16" s="1"/>
  <c r="X229" i="16"/>
  <c r="AD229" i="16"/>
  <c r="G52" i="4" s="1" a="1"/>
  <c r="G52" i="4" s="1"/>
  <c r="AB230" i="16"/>
  <c r="AD230" i="16" s="1"/>
  <c r="G54" i="4" s="1" a="1"/>
  <c r="G54" i="4" s="1"/>
  <c r="H53" i="4" a="1"/>
  <c r="H53" i="4" s="1"/>
  <c r="G49" i="4" a="1"/>
  <c r="G49" i="4" s="1"/>
  <c r="H52" i="4" a="1"/>
  <c r="H52" i="4" s="1"/>
  <c r="G53" i="4" a="1"/>
  <c r="G53" i="4" s="1"/>
  <c r="H54" i="4" a="1"/>
  <c r="H54" i="4" s="1"/>
  <c r="H49" i="4" a="1"/>
  <c r="H49" i="4" s="1"/>
  <c r="H50" i="4" a="1"/>
  <c r="H50" i="4" s="1"/>
  <c r="G39" i="4" a="1"/>
  <c r="G39" i="4" s="1"/>
  <c r="CR228" i="16"/>
  <c r="CP229" i="16"/>
  <c r="CJ229" i="16"/>
  <c r="CL228" i="16"/>
  <c r="CF227" i="16"/>
  <c r="CD228" i="16"/>
  <c r="BZ227" i="16"/>
  <c r="BX228" i="16"/>
  <c r="BT227" i="16"/>
  <c r="BR228" i="16"/>
  <c r="BL227" i="16"/>
  <c r="BN226" i="16"/>
  <c r="BF229" i="16"/>
  <c r="BH228" i="16"/>
  <c r="BB227" i="16"/>
  <c r="AZ228" i="16"/>
  <c r="AT229" i="16"/>
  <c r="AV228" i="16"/>
  <c r="AN228" i="16"/>
  <c r="AP227" i="16"/>
  <c r="AH228" i="16"/>
  <c r="AJ227" i="16"/>
  <c r="H51" i="4" l="1" a="1"/>
  <c r="H51" i="4" s="1"/>
  <c r="G51" i="4" a="1"/>
  <c r="G51" i="4" s="1"/>
  <c r="G42" i="4" a="1"/>
  <c r="G42" i="4" s="1"/>
  <c r="G41" i="4" a="1"/>
  <c r="G41" i="4" s="1"/>
  <c r="H42" i="4" a="1"/>
  <c r="H42" i="4" s="1"/>
  <c r="G43" i="4" a="1"/>
  <c r="G43" i="4" s="1"/>
  <c r="G40" i="4" a="1"/>
  <c r="G40" i="4" s="1"/>
  <c r="H43" i="4" a="1"/>
  <c r="H43" i="4" s="1"/>
  <c r="H39" i="4" a="1"/>
  <c r="H39" i="4" s="1"/>
  <c r="H40" i="4" a="1"/>
  <c r="H40" i="4" s="1"/>
  <c r="G38" i="4" a="1"/>
  <c r="G38" i="4" s="1"/>
  <c r="H38" i="4" a="1"/>
  <c r="H38" i="4" s="1"/>
  <c r="G50" i="4" a="1"/>
  <c r="G50" i="4" s="1"/>
  <c r="H41" i="4" a="1"/>
  <c r="H41" i="4" s="1"/>
  <c r="CP230" i="16"/>
  <c r="CR230" i="16" s="1"/>
  <c r="CR229" i="16"/>
  <c r="G186" i="4" s="1" a="1"/>
  <c r="G186" i="4" s="1"/>
  <c r="CJ230" i="16"/>
  <c r="CL230" i="16" s="1"/>
  <c r="CL229" i="16"/>
  <c r="G173" i="4" s="1" a="1"/>
  <c r="G173" i="4" s="1"/>
  <c r="CD229" i="16"/>
  <c r="CF228" i="16"/>
  <c r="BX229" i="16"/>
  <c r="BZ228" i="16"/>
  <c r="BR229" i="16"/>
  <c r="BT228" i="16"/>
  <c r="BN227" i="16"/>
  <c r="BL228" i="16"/>
  <c r="BF230" i="16"/>
  <c r="BH230" i="16" s="1"/>
  <c r="BH229" i="16"/>
  <c r="G116" i="4" s="1" a="1"/>
  <c r="G116" i="4" s="1"/>
  <c r="AZ229" i="16"/>
  <c r="BB228" i="16"/>
  <c r="AT230" i="16"/>
  <c r="AV230" i="16" s="1"/>
  <c r="AV229" i="16"/>
  <c r="G93" i="4" s="1" a="1"/>
  <c r="G93" i="4" s="1"/>
  <c r="AP228" i="16"/>
  <c r="AN229" i="16"/>
  <c r="AJ228" i="16"/>
  <c r="AH229" i="16"/>
  <c r="G185" i="4" l="1" a="1"/>
  <c r="G185" i="4" s="1"/>
  <c r="H184" i="4" a="1"/>
  <c r="H184" i="4" s="1"/>
  <c r="G184" i="4" a="1"/>
  <c r="G184" i="4" s="1"/>
  <c r="H186" i="4" a="1"/>
  <c r="H186" i="4" s="1"/>
  <c r="H185" i="4" a="1"/>
  <c r="H185" i="4" s="1"/>
  <c r="H183" i="4" a="1"/>
  <c r="H183" i="4" s="1"/>
  <c r="G183" i="4" a="1"/>
  <c r="G183" i="4" s="1"/>
  <c r="G174" i="4" a="1"/>
  <c r="G174" i="4" s="1"/>
  <c r="H174" i="4" a="1"/>
  <c r="H174" i="4" s="1"/>
  <c r="G175" i="4" a="1"/>
  <c r="G175" i="4" s="1"/>
  <c r="H177" i="4" a="1"/>
  <c r="H177" i="4" s="1"/>
  <c r="H175" i="4" a="1"/>
  <c r="H175" i="4" s="1"/>
  <c r="H173" i="4" a="1"/>
  <c r="H173" i="4" s="1"/>
  <c r="G177" i="4" a="1"/>
  <c r="G177" i="4" s="1"/>
  <c r="H176" i="4" a="1"/>
  <c r="H176" i="4" s="1"/>
  <c r="G176" i="4" a="1"/>
  <c r="G176" i="4" s="1"/>
  <c r="G118" i="4" a="1"/>
  <c r="G118" i="4" s="1"/>
  <c r="H120" i="4" a="1"/>
  <c r="H120" i="4" s="1"/>
  <c r="G117" i="4" a="1"/>
  <c r="G117" i="4" s="1"/>
  <c r="H119" i="4" a="1"/>
  <c r="H119" i="4" s="1"/>
  <c r="H117" i="4" a="1"/>
  <c r="H117" i="4" s="1"/>
  <c r="H116" i="4" a="1"/>
  <c r="H116" i="4" s="1"/>
  <c r="H118" i="4" a="1"/>
  <c r="H118" i="4" s="1"/>
  <c r="G120" i="4" a="1"/>
  <c r="G120" i="4" s="1"/>
  <c r="G119" i="4" a="1"/>
  <c r="G119" i="4" s="1"/>
  <c r="G115" i="4" a="1"/>
  <c r="G115" i="4" s="1"/>
  <c r="H115" i="4" a="1"/>
  <c r="H115" i="4" s="1"/>
  <c r="G90" i="4" a="1"/>
  <c r="G90" i="4" s="1"/>
  <c r="G92" i="4" a="1"/>
  <c r="G92" i="4" s="1"/>
  <c r="G88" i="4" a="1"/>
  <c r="G88" i="4" s="1"/>
  <c r="G89" i="4" a="1"/>
  <c r="G89" i="4" s="1"/>
  <c r="H89" i="4" a="1"/>
  <c r="H89" i="4" s="1"/>
  <c r="H88" i="4" a="1"/>
  <c r="H88" i="4" s="1"/>
  <c r="H92" i="4" a="1"/>
  <c r="H92" i="4" s="1"/>
  <c r="H91" i="4" a="1"/>
  <c r="H91" i="4" s="1"/>
  <c r="H93" i="4" a="1"/>
  <c r="H93" i="4" s="1"/>
  <c r="G91" i="4" a="1"/>
  <c r="G91" i="4" s="1"/>
  <c r="H90" i="4" a="1"/>
  <c r="H90" i="4" s="1"/>
  <c r="CD230" i="16"/>
  <c r="CF230" i="16" s="1"/>
  <c r="CF229" i="16"/>
  <c r="BX230" i="16"/>
  <c r="BZ230" i="16" s="1"/>
  <c r="BZ229" i="16"/>
  <c r="G150" i="4" s="1" a="1"/>
  <c r="G150" i="4" s="1"/>
  <c r="BR230" i="16"/>
  <c r="BT230" i="16" s="1"/>
  <c r="BT229" i="16"/>
  <c r="H140" i="4" s="1" a="1"/>
  <c r="H140" i="4" s="1"/>
  <c r="BL229" i="16"/>
  <c r="BN228" i="16"/>
  <c r="AZ230" i="16"/>
  <c r="BB230" i="16" s="1"/>
  <c r="BB229" i="16"/>
  <c r="AP229" i="16"/>
  <c r="G77" i="4" s="1" a="1"/>
  <c r="G77" i="4" s="1"/>
  <c r="AN230" i="16"/>
  <c r="AP230" i="16" s="1"/>
  <c r="AH230" i="16"/>
  <c r="AJ230" i="16" s="1"/>
  <c r="AJ229" i="16"/>
  <c r="G68" i="4" s="1" a="1"/>
  <c r="G68" i="4" s="1"/>
  <c r="G103" i="4" l="1" a="1"/>
  <c r="G103" i="4" s="1"/>
  <c r="G166" i="4" a="1"/>
  <c r="G166" i="4" s="1"/>
  <c r="G165" i="4" a="1"/>
  <c r="G165" i="4" s="1"/>
  <c r="H166" i="4" a="1"/>
  <c r="H166" i="4" s="1"/>
  <c r="G164" i="4" a="1"/>
  <c r="G164" i="4" s="1"/>
  <c r="H167" i="4" a="1"/>
  <c r="H167" i="4" s="1"/>
  <c r="G167" i="4" a="1"/>
  <c r="G167" i="4" s="1"/>
  <c r="H164" i="4" a="1"/>
  <c r="H164" i="4" s="1"/>
  <c r="H165" i="4" a="1"/>
  <c r="H165" i="4" s="1"/>
  <c r="G148" i="4" a="1"/>
  <c r="G148" i="4" s="1"/>
  <c r="H149" i="4" a="1"/>
  <c r="H149" i="4" s="1"/>
  <c r="H150" i="4" a="1"/>
  <c r="H150" i="4" s="1"/>
  <c r="G153" i="4" a="1"/>
  <c r="G153" i="4" s="1"/>
  <c r="H152" i="4" a="1"/>
  <c r="H152" i="4" s="1"/>
  <c r="G149" i="4" a="1"/>
  <c r="G149" i="4" s="1"/>
  <c r="H153" i="4" a="1"/>
  <c r="H153" i="4" s="1"/>
  <c r="H148" i="4" a="1"/>
  <c r="H148" i="4" s="1"/>
  <c r="G151" i="4" a="1"/>
  <c r="G151" i="4" s="1"/>
  <c r="G152" i="4" a="1"/>
  <c r="G152" i="4" s="1"/>
  <c r="H151" i="4" a="1"/>
  <c r="H151" i="4" s="1"/>
  <c r="G139" i="4" a="1"/>
  <c r="G139" i="4" s="1"/>
  <c r="H139" i="4" a="1"/>
  <c r="H139" i="4" s="1"/>
  <c r="H142" i="4" a="1"/>
  <c r="H142" i="4" s="1"/>
  <c r="H138" i="4" a="1"/>
  <c r="H138" i="4" s="1"/>
  <c r="G140" i="4" a="1"/>
  <c r="G140" i="4" s="1"/>
  <c r="G142" i="4" a="1"/>
  <c r="G142" i="4" s="1"/>
  <c r="G138" i="4" a="1"/>
  <c r="G138" i="4" s="1"/>
  <c r="G137" i="4" a="1"/>
  <c r="G137" i="4" s="1"/>
  <c r="H137" i="4" a="1"/>
  <c r="H137" i="4" s="1"/>
  <c r="H141" i="4" a="1"/>
  <c r="H141" i="4" s="1"/>
  <c r="G141" i="4" a="1"/>
  <c r="G141" i="4" s="1"/>
  <c r="H103" i="4" a="1"/>
  <c r="H103" i="4" s="1"/>
  <c r="H101" i="4" a="1"/>
  <c r="H101" i="4" s="1"/>
  <c r="G102" i="4" a="1"/>
  <c r="G102" i="4" s="1"/>
  <c r="H99" i="4" a="1"/>
  <c r="H99" i="4" s="1"/>
  <c r="G101" i="4" a="1"/>
  <c r="G101" i="4" s="1"/>
  <c r="H100" i="4" a="1"/>
  <c r="H100" i="4" s="1"/>
  <c r="H102" i="4" a="1"/>
  <c r="H102" i="4" s="1"/>
  <c r="G99" i="4" a="1"/>
  <c r="G99" i="4" s="1"/>
  <c r="G104" i="4" a="1"/>
  <c r="G104" i="4" s="1"/>
  <c r="G100" i="4" a="1"/>
  <c r="G100" i="4" s="1"/>
  <c r="H104" i="4" a="1"/>
  <c r="H104" i="4" s="1"/>
  <c r="G81" i="4" a="1"/>
  <c r="G81" i="4" s="1"/>
  <c r="H78" i="4" a="1"/>
  <c r="H78" i="4" s="1"/>
  <c r="H81" i="4" a="1"/>
  <c r="H81" i="4" s="1"/>
  <c r="G78" i="4" a="1"/>
  <c r="G78" i="4" s="1"/>
  <c r="G79" i="4" a="1"/>
  <c r="G79" i="4" s="1"/>
  <c r="H82" i="4" a="1"/>
  <c r="H82" i="4" s="1"/>
  <c r="H80" i="4" a="1"/>
  <c r="H80" i="4" s="1"/>
  <c r="G80" i="4" a="1"/>
  <c r="G80" i="4" s="1"/>
  <c r="H76" i="4" a="1"/>
  <c r="H76" i="4" s="1"/>
  <c r="G82" i="4" a="1"/>
  <c r="G82" i="4" s="1"/>
  <c r="G76" i="4" a="1"/>
  <c r="G76" i="4" s="1"/>
  <c r="H77" i="4" a="1"/>
  <c r="H77" i="4" s="1"/>
  <c r="H79" i="4" a="1"/>
  <c r="H79" i="4" s="1"/>
  <c r="H67" i="4" a="1"/>
  <c r="H67" i="4" s="1"/>
  <c r="H65" i="4" a="1"/>
  <c r="H65" i="4" s="1"/>
  <c r="G66" i="4" a="1"/>
  <c r="G66" i="4" s="1"/>
  <c r="G65" i="4" a="1"/>
  <c r="G65" i="4" s="1"/>
  <c r="H66" i="4" a="1"/>
  <c r="H66" i="4" s="1"/>
  <c r="H68" i="4" a="1"/>
  <c r="H68" i="4" s="1"/>
  <c r="H69" i="4" a="1"/>
  <c r="H69" i="4" s="1"/>
  <c r="G69" i="4" a="1"/>
  <c r="G69" i="4" s="1"/>
  <c r="H70" i="4" a="1"/>
  <c r="H70" i="4" s="1"/>
  <c r="G70" i="4" a="1"/>
  <c r="G70" i="4" s="1"/>
  <c r="G67" i="4" a="1"/>
  <c r="G67" i="4" s="1"/>
  <c r="BL230" i="16"/>
  <c r="BN230" i="16" s="1"/>
  <c r="BN229" i="16"/>
  <c r="H126" i="4" s="1" a="1"/>
  <c r="H126" i="4" s="1"/>
  <c r="H131" i="4" l="1" a="1"/>
  <c r="H131" i="4" s="1"/>
  <c r="H127" i="4" a="1"/>
  <c r="H127" i="4" s="1"/>
  <c r="G130" i="4" a="1"/>
  <c r="G130" i="4" s="1"/>
  <c r="H129" i="4" a="1"/>
  <c r="H129" i="4" s="1"/>
  <c r="G131" i="4" a="1"/>
  <c r="G131" i="4" s="1"/>
  <c r="H128" i="4" a="1"/>
  <c r="H128" i="4" s="1"/>
  <c r="G127" i="4" a="1"/>
  <c r="G127" i="4" s="1"/>
  <c r="H130" i="4" a="1"/>
  <c r="H130" i="4" s="1"/>
  <c r="G126" i="4" a="1"/>
  <c r="G126" i="4" s="1"/>
  <c r="G128" i="4" a="1"/>
  <c r="G128" i="4" s="1"/>
  <c r="G129" i="4" a="1"/>
  <c r="G12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Jiri Lucky</author>
  </authors>
  <commentList>
    <comment ref="B5" authorId="0" shapeId="0" xr:uid="{0100704F-15B7-4AE5-A3D6-D0591AB388F4}">
      <text>
        <r>
          <rPr>
            <b/>
            <sz val="9"/>
            <color indexed="81"/>
            <rFont val="Tahoma"/>
            <family val="2"/>
            <charset val="238"/>
          </rPr>
          <t>Jiri Lucky:</t>
        </r>
        <r>
          <rPr>
            <sz val="9"/>
            <color indexed="81"/>
            <rFont val="Tahoma"/>
            <family val="2"/>
            <charset val="238"/>
          </rPr>
          <t xml:space="preserve">
Type in the use-case name, which will identify this specific use-case among the others.</t>
        </r>
      </text>
    </comment>
    <comment ref="J5" authorId="0" shapeId="0" xr:uid="{A96E7027-10F1-479C-8CB7-FA11E73D33C7}">
      <text>
        <r>
          <rPr>
            <b/>
            <sz val="9"/>
            <color indexed="81"/>
            <rFont val="Tahoma"/>
            <family val="2"/>
            <charset val="238"/>
          </rPr>
          <t>Jiri Lucky:</t>
        </r>
        <r>
          <rPr>
            <sz val="9"/>
            <color indexed="81"/>
            <rFont val="Tahoma"/>
            <family val="2"/>
            <charset val="238"/>
          </rPr>
          <t xml:space="preserve">
Choose if the use-case is assessed by Internal or External assessor.</t>
        </r>
      </text>
    </comment>
    <comment ref="B6" authorId="0" shapeId="0" xr:uid="{FFBF0858-E951-4F88-B867-FF2FA90226C2}">
      <text>
        <r>
          <rPr>
            <b/>
            <sz val="9"/>
            <color indexed="81"/>
            <rFont val="Tahoma"/>
            <family val="2"/>
            <charset val="238"/>
          </rPr>
          <t>Jiri Lucky:</t>
        </r>
        <r>
          <rPr>
            <sz val="9"/>
            <color indexed="81"/>
            <rFont val="Tahoma"/>
            <family val="2"/>
            <charset val="238"/>
          </rPr>
          <t xml:space="preserve">
Type in the name of company owning the use-case.</t>
        </r>
      </text>
    </comment>
    <comment ref="J6" authorId="0" shapeId="0" xr:uid="{C0661B8B-60B0-4240-8377-7F6733A451BC}">
      <text>
        <r>
          <rPr>
            <b/>
            <sz val="9"/>
            <color indexed="81"/>
            <rFont val="Tahoma"/>
            <family val="2"/>
            <charset val="238"/>
          </rPr>
          <t>Jiri Lucky:</t>
        </r>
        <r>
          <rPr>
            <sz val="9"/>
            <color indexed="81"/>
            <rFont val="Tahoma"/>
            <family val="2"/>
            <charset val="238"/>
          </rPr>
          <t xml:space="preserve">
Type in the name of company of the assessor.
In case of internal assessor the company will be the same as company owning the use-case.</t>
        </r>
      </text>
    </comment>
    <comment ref="B7" authorId="0" shapeId="0" xr:uid="{2467F635-01CE-46C5-92C2-9E8D15856FF9}">
      <text>
        <r>
          <rPr>
            <b/>
            <sz val="9"/>
            <color indexed="81"/>
            <rFont val="Tahoma"/>
            <family val="2"/>
            <charset val="238"/>
          </rPr>
          <t>Jiri Lucky:</t>
        </r>
        <r>
          <rPr>
            <sz val="9"/>
            <color indexed="81"/>
            <rFont val="Tahoma"/>
            <family val="2"/>
            <charset val="238"/>
          </rPr>
          <t xml:space="preserve">
Type in the date when the assessment starts.</t>
        </r>
      </text>
    </comment>
    <comment ref="J7" authorId="0" shapeId="0" xr:uid="{C8D29A7E-2C00-4CB7-BC21-650404A922B4}">
      <text>
        <r>
          <rPr>
            <b/>
            <sz val="9"/>
            <color indexed="81"/>
            <rFont val="Tahoma"/>
            <family val="2"/>
            <charset val="238"/>
          </rPr>
          <t>Jiri Lucky:</t>
        </r>
        <r>
          <rPr>
            <sz val="9"/>
            <color indexed="81"/>
            <rFont val="Tahoma"/>
            <family val="2"/>
            <charset val="238"/>
          </rPr>
          <t xml:space="preserve">
Type in the assessor's name.</t>
        </r>
      </text>
    </comment>
    <comment ref="B8" authorId="0" shapeId="0" xr:uid="{A9CE95C9-ED96-41B9-A808-C4563AB2BE4D}">
      <text>
        <r>
          <rPr>
            <b/>
            <sz val="9"/>
            <color indexed="81"/>
            <rFont val="Tahoma"/>
            <family val="2"/>
            <charset val="238"/>
          </rPr>
          <t>Jiri Lucky:</t>
        </r>
        <r>
          <rPr>
            <sz val="9"/>
            <color indexed="81"/>
            <rFont val="Tahoma"/>
            <family val="2"/>
            <charset val="238"/>
          </rPr>
          <t xml:space="preserve">
Type in the date of required or estimated ending of the assessment.</t>
        </r>
      </text>
    </comment>
    <comment ref="B9" authorId="0" shapeId="0" xr:uid="{61EC2D04-C4CB-4510-BC3A-024186D1D106}">
      <text>
        <r>
          <rPr>
            <b/>
            <sz val="9"/>
            <color indexed="81"/>
            <rFont val="Tahoma"/>
            <family val="2"/>
            <charset val="238"/>
          </rPr>
          <t>Jiri Lucky:</t>
        </r>
        <r>
          <rPr>
            <sz val="9"/>
            <color indexed="81"/>
            <rFont val="Tahoma"/>
            <family val="2"/>
            <charset val="238"/>
          </rPr>
          <t xml:space="preserve">
Type in the date of required or estimated ending of the assessment.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<sst xmlns="http://schemas.openxmlformats.org/spreadsheetml/2006/main" count="6250" uniqueCount="1492">
  <si>
    <t>Category</t>
  </si>
  <si>
    <t>Weight</t>
  </si>
  <si>
    <t>Module</t>
  </si>
  <si>
    <t>Scope</t>
  </si>
  <si>
    <t>IN</t>
  </si>
  <si>
    <t>OUT OF</t>
  </si>
  <si>
    <t>The resilience of the PKI implementation should be reviewed and improved regularly. The review and improvement process should be documented and the results should be used to improve the resilience of the PKI implementation. The frequency of review should be based on the organizational risks and needs to be protected against current and future trends.</t>
  </si>
  <si>
    <t>Guidance</t>
  </si>
  <si>
    <t>Assessment</t>
  </si>
  <si>
    <t>Requirement</t>
  </si>
  <si>
    <t>#</t>
  </si>
  <si>
    <t>Notes</t>
  </si>
  <si>
    <t>Resilience is the key for any organization wanting to thrive in an ever-changing world, which is obviously very important factor for any PKI implementation. The PKI is planned to be trusted for multiple years, if not decades. Therefore, the ability to absorb and adapt to the unpredictability, while continuing to deliver on the objectives is becoming mandatory.
Robust resilience framework helps organizations future-proof their PKI oriented business, detailing key principles, attributes and activities that are followed to ensure that the PKI implementation will be trusted, secure, and effective all the time.</t>
  </si>
  <si>
    <t>Providing awareness about the PKI and its purpose in the organization and outside ensures that ech PKI participant understands it properly and is timely informed about any important events that may have impact on the participant.
The awareness is important for all PKI participants to know how to handle exceptional situations and how to react on them. It is also important to know how to communicate and when and to not misunderstand any issues or incidents.</t>
  </si>
  <si>
    <t>The purpose of this category is to ensure that the PKI personnel has the required knowledge and skills to perform their duties and responsibilities. Education and continuously gathering of required knowledge and skills to manage PKI is important to be aware and properly react on the current trends and threats that have impact on the public key infrastructure.
Each personnel should be aware of the PKI policies and procedures, and should be able to perform their duties and responsibilities in accordance with the PKI policies and procedures.</t>
  </si>
  <si>
    <t>PKI is a complex system that requires a lot of resources to be managed and maintained. Proper sourcing of the resources is one of key factors for the of mature infrastructure that can maintain and improve trust over the time. The resources can be:
    financial resources needed to maintain the PKI
    computing resources like hardware, software, tools, technologies
    human resources (personnel)
    management resources like processes and procedures
The sourcing is a process of defining the required resources and their specification, availability, and management. The sourcing requires monitoring and periodic review of the resources needed and alignment with the overall strategy of the organization and scope of the PKI.</t>
  </si>
  <si>
    <t>Identified and defined resources should be available at the required capacity. The availability of the resources should be aligned with the overall strategy of the organization and scope of the PKI. The availability of the resources should be controlled to ensure that the resources are available when needed.</t>
  </si>
  <si>
    <t>1. Governance</t>
  </si>
  <si>
    <t>1.1. Strategy and vision</t>
  </si>
  <si>
    <t>1.2. Policies and documentation</t>
  </si>
  <si>
    <t>1.3. Compliance</t>
  </si>
  <si>
    <t>1.4. Processes and procedures</t>
  </si>
  <si>
    <t>1.1.1.</t>
  </si>
  <si>
    <t>1.1.2.</t>
  </si>
  <si>
    <t>1.1.3.</t>
  </si>
  <si>
    <t>1.1.4.</t>
  </si>
  <si>
    <t>1.1.5.</t>
  </si>
  <si>
    <t>1.1.6.</t>
  </si>
  <si>
    <t>2. Management</t>
  </si>
  <si>
    <t>3. Operations</t>
  </si>
  <si>
    <t>4. Resources</t>
  </si>
  <si>
    <t>2.1. Key Management</t>
  </si>
  <si>
    <t>2.2. Certificate Management</t>
  </si>
  <si>
    <t>2.3. Infrastructure Management</t>
  </si>
  <si>
    <t>2.4. Change Management and Agility</t>
  </si>
  <si>
    <t>3.1. Resilience</t>
  </si>
  <si>
    <t>3.2. Interoperability</t>
  </si>
  <si>
    <t>3.3. Monitoring and Auditing</t>
  </si>
  <si>
    <t>3.4. Automation</t>
  </si>
  <si>
    <t>4.1. Sourcing</t>
  </si>
  <si>
    <t>4.2. Knowledge and Training</t>
  </si>
  <si>
    <t>4.3. Awareness</t>
  </si>
  <si>
    <t>Description</t>
  </si>
  <si>
    <t>Inputs and evidence</t>
  </si>
  <si>
    <t>Applicability</t>
  </si>
  <si>
    <t>Applicable</t>
  </si>
  <si>
    <t>Not Applicable</t>
  </si>
  <si>
    <t>Initial</t>
  </si>
  <si>
    <t>Basic</t>
  </si>
  <si>
    <t>Advanced</t>
  </si>
  <si>
    <t>Managed</t>
  </si>
  <si>
    <t>Optimized</t>
  </si>
  <si>
    <t>Scoring</t>
  </si>
  <si>
    <t>Levels</t>
  </si>
  <si>
    <t>Not evaluated</t>
  </si>
  <si>
    <t>N/A</t>
  </si>
  <si>
    <t>1.2.1.</t>
  </si>
  <si>
    <t>1.2.2.</t>
  </si>
  <si>
    <t>1.2.3.</t>
  </si>
  <si>
    <t>1.2.4.</t>
  </si>
  <si>
    <t>1.2.5.</t>
  </si>
  <si>
    <t>1.2.6.</t>
  </si>
  <si>
    <t>1.3.1.</t>
  </si>
  <si>
    <t>1.3.2.</t>
  </si>
  <si>
    <t>1.3.3.</t>
  </si>
  <si>
    <t>1.3.4.</t>
  </si>
  <si>
    <t>1.3.5.</t>
  </si>
  <si>
    <t>1.3.6.</t>
  </si>
  <si>
    <t>1.4.1.</t>
  </si>
  <si>
    <t>1.4.2.</t>
  </si>
  <si>
    <t>1.4.3.</t>
  </si>
  <si>
    <t>1.4.4.</t>
  </si>
  <si>
    <t>1.4.5.</t>
  </si>
  <si>
    <t>1.4.6.</t>
  </si>
  <si>
    <t>2.1.1.</t>
  </si>
  <si>
    <t>2.1.2.</t>
  </si>
  <si>
    <t>2.1.3.</t>
  </si>
  <si>
    <t>2.1.4.</t>
  </si>
  <si>
    <t>2.1.5.</t>
  </si>
  <si>
    <t>2.1.6.</t>
  </si>
  <si>
    <t>2.2.1.</t>
  </si>
  <si>
    <t>2.2.2.</t>
  </si>
  <si>
    <t>2.2.3.</t>
  </si>
  <si>
    <t>2.2.4.</t>
  </si>
  <si>
    <t>2.2.5.</t>
  </si>
  <si>
    <t>2.2.6.</t>
  </si>
  <si>
    <t>2.3.1.</t>
  </si>
  <si>
    <t>2.3.2.</t>
  </si>
  <si>
    <t>2.3.3.</t>
  </si>
  <si>
    <t>2.3.4.</t>
  </si>
  <si>
    <t>2.3.5.</t>
  </si>
  <si>
    <t>2.3.6.</t>
  </si>
  <si>
    <t>2.4.1.</t>
  </si>
  <si>
    <t>2.4.2.</t>
  </si>
  <si>
    <t>2.4.3.</t>
  </si>
  <si>
    <t>2.4.4.</t>
  </si>
  <si>
    <t>2.4.5.</t>
  </si>
  <si>
    <t>2.4.6.</t>
  </si>
  <si>
    <t>3.1.1.</t>
  </si>
  <si>
    <t>3.1.2.</t>
  </si>
  <si>
    <t>3.1.3.</t>
  </si>
  <si>
    <t>3.1.4.</t>
  </si>
  <si>
    <t>3.1.5.</t>
  </si>
  <si>
    <t>3.1.6.</t>
  </si>
  <si>
    <t>3.2.1.</t>
  </si>
  <si>
    <t>3.2.2.</t>
  </si>
  <si>
    <t>3.2.3.</t>
  </si>
  <si>
    <t>3.2.4.</t>
  </si>
  <si>
    <t>3.2.5.</t>
  </si>
  <si>
    <t>3.2.6.</t>
  </si>
  <si>
    <t>3.3.1.</t>
  </si>
  <si>
    <t>3.3.2.</t>
  </si>
  <si>
    <t>3.3.3.</t>
  </si>
  <si>
    <t>3.3.4.</t>
  </si>
  <si>
    <t>3.3.5.</t>
  </si>
  <si>
    <t>3.3.6.</t>
  </si>
  <si>
    <t>3.4.1.</t>
  </si>
  <si>
    <t>3.4.2.</t>
  </si>
  <si>
    <t>3.4.3.</t>
  </si>
  <si>
    <t>3.4.4.</t>
  </si>
  <si>
    <t>3.4.5.</t>
  </si>
  <si>
    <t>3.4.6.</t>
  </si>
  <si>
    <t>4.1.1.</t>
  </si>
  <si>
    <t>4.1.2.</t>
  </si>
  <si>
    <t>4.1.3.</t>
  </si>
  <si>
    <t>4.1.4.</t>
  </si>
  <si>
    <t>4.2.1.</t>
  </si>
  <si>
    <t>4.2.2.</t>
  </si>
  <si>
    <t>4.2.3.</t>
  </si>
  <si>
    <t>4.2.4.</t>
  </si>
  <si>
    <t>4.2.5.</t>
  </si>
  <si>
    <t>4.3.1.</t>
  </si>
  <si>
    <t>4.3.2.</t>
  </si>
  <si>
    <t>4.3.3.</t>
  </si>
  <si>
    <t>4.3.4.</t>
  </si>
  <si>
    <t>Weight categories</t>
  </si>
  <si>
    <t>Statistics</t>
  </si>
  <si>
    <t>Module Maturity Level</t>
  </si>
  <si>
    <t>Category Maturity Level</t>
  </si>
  <si>
    <t>PKI Maturity Level</t>
  </si>
  <si>
    <t>Total</t>
  </si>
  <si>
    <t>Maturity level</t>
  </si>
  <si>
    <t>Indicators</t>
  </si>
  <si>
    <t>Associated risks</t>
  </si>
  <si>
    <t>Indicators:</t>
  </si>
  <si>
    <t>Associated risks:</t>
  </si>
  <si>
    <t>Aplicability</t>
  </si>
  <si>
    <t>Reason</t>
  </si>
  <si>
    <t>Requirements</t>
  </si>
  <si>
    <t>Partially Applicable</t>
  </si>
  <si>
    <t>Categories</t>
  </si>
  <si>
    <t>Evidence</t>
  </si>
  <si>
    <t>Reached PKI Maturity Level</t>
  </si>
  <si>
    <t>Scoping</t>
  </si>
  <si>
    <t>Description of the PKI environment</t>
  </si>
  <si>
    <t xml:space="preserve">The Scoping sheet provides user with complete list of requirements for PKI Maturity Level evaluation. Individual requirements are grouped into categories, which are further grouped into modules. </t>
  </si>
  <si>
    <t>The only active controls on this sheet are the cells in the Scope columns. There are two of them - one relates to a category, the other relates to a requirement.
By changing the value in the cell is being set applicability of appropriate category or requirement. There are two values to choose:</t>
  </si>
  <si>
    <r>
      <rPr>
        <b/>
        <sz val="11"/>
        <color theme="9"/>
        <rFont val="Calibri"/>
        <family val="2"/>
        <charset val="238"/>
        <scheme val="minor"/>
      </rPr>
      <t>IN</t>
    </r>
    <r>
      <rPr>
        <sz val="11"/>
        <color theme="1"/>
        <rFont val="Calibri"/>
        <family val="2"/>
        <charset val="238"/>
        <scheme val="minor"/>
      </rPr>
      <t xml:space="preserve"> --&gt; Requirement or category is included in the scope and affects the result of evaluation
</t>
    </r>
    <r>
      <rPr>
        <b/>
        <sz val="11"/>
        <color rgb="FFC00000"/>
        <rFont val="Calibri"/>
        <family val="2"/>
        <charset val="238"/>
        <scheme val="minor"/>
      </rPr>
      <t>OUT OF</t>
    </r>
    <r>
      <rPr>
        <sz val="11"/>
        <color theme="1"/>
        <rFont val="Calibri"/>
        <family val="2"/>
        <charset val="238"/>
        <scheme val="minor"/>
      </rPr>
      <t xml:space="preserve"> --&gt; Requirement or category is excluded from the scope and does not affect the result of evaluation</t>
    </r>
  </si>
  <si>
    <t>Possible scenarios</t>
  </si>
  <si>
    <t>Impact description</t>
  </si>
  <si>
    <t>does not matter</t>
  </si>
  <si>
    <r>
      <t xml:space="preserve">Category is </t>
    </r>
    <r>
      <rPr>
        <b/>
        <sz val="11"/>
        <color theme="9"/>
        <rFont val="Calibri"/>
        <family val="2"/>
        <charset val="238"/>
        <scheme val="minor"/>
      </rPr>
      <t>Applicable</t>
    </r>
    <r>
      <rPr>
        <sz val="11"/>
        <color theme="1"/>
        <rFont val="Calibri"/>
        <family val="2"/>
        <charset val="238"/>
        <scheme val="minor"/>
      </rPr>
      <t xml:space="preserve"> and each it's requirement will affect result of PKI Maturity evaluation.</t>
    </r>
  </si>
  <si>
    <r>
      <t xml:space="preserve">Category is </t>
    </r>
    <r>
      <rPr>
        <b/>
        <sz val="11"/>
        <color theme="7" tint="-0.249977111117893"/>
        <rFont val="Calibri"/>
        <family val="2"/>
        <charset val="238"/>
        <scheme val="minor"/>
      </rPr>
      <t>Partially Applicable</t>
    </r>
    <r>
      <rPr>
        <sz val="11"/>
        <color theme="1"/>
        <rFont val="Calibri"/>
        <family val="2"/>
        <charset val="238"/>
        <scheme val="minor"/>
      </rPr>
      <t xml:space="preserve"> and only it's applicable requirements will affect result of PKI Maturity evaluation.</t>
    </r>
  </si>
  <si>
    <r>
      <t xml:space="preserve">all </t>
    </r>
    <r>
      <rPr>
        <b/>
        <sz val="11"/>
        <color theme="9"/>
        <rFont val="Calibri"/>
        <family val="2"/>
        <charset val="238"/>
        <scheme val="minor"/>
      </rPr>
      <t>IN</t>
    </r>
  </si>
  <si>
    <r>
      <t xml:space="preserve">at least one
</t>
    </r>
    <r>
      <rPr>
        <b/>
        <sz val="11"/>
        <color rgb="FFC00000"/>
        <rFont val="Calibri"/>
        <family val="2"/>
        <charset val="238"/>
        <scheme val="minor"/>
      </rPr>
      <t>OUT OF</t>
    </r>
  </si>
  <si>
    <t>The following chapter describes the methodology how is the maturity assessment done based on the PKI Maturity Model.</t>
  </si>
  <si>
    <t>Assessment methods</t>
  </si>
  <si>
    <t>The assessment methods consist of:
- Self-assessment questionnaires
- Face-to-face interviews and workshops</t>
  </si>
  <si>
    <t>Self-assessment questionnaire (SAQ)</t>
  </si>
  <si>
    <t>Questionnaires are initially the tool to perform and collect all relevant data about the capabilities and performance of the PKI.</t>
  </si>
  <si>
    <t>The SAQ contains a set of questions with deterministic answers (list of possible answers), which are answered by the entity operating the PKI.</t>
  </si>
  <si>
    <t>SAQ is defined for each of the assessed categories and carefully tailored to provide valuable information leading to measure maturity level of the category. Each question gives an output in the form of the partial assessed level and all ratings are finally combined to provide category maturity level or rating.</t>
  </si>
  <si>
    <t>The category maturity level is calculated as average of all partial levels produced by the SAQ in the category.</t>
  </si>
  <si>
    <t>F2F interview/workshop</t>
  </si>
  <si>
    <t>The interview or workshop has the same basis as for the SAQ and the main purpose of this phase is to help entity understand the maturity assessment question and to provide correct answer. This will be mainly provided to entities which are not fully PKI-aware or does not have enough resources and skilled personnel, but would like to understand the process.</t>
  </si>
  <si>
    <t>During the interview/workshop the main focus is on moderating the discussion with relevant parties working for entity and filling the SAQs accordingly to achieve the consistent maturity assessment across all categories.</t>
  </si>
  <si>
    <t>Assessment types</t>
  </si>
  <si>
    <t>(TBD) The following assessment types will be provided:
- Self-assessment
- Third-party assessment
- Certified assessment</t>
  </si>
  <si>
    <t>Self-assessment</t>
  </si>
  <si>
    <t>Collecting all information to provide answers for SAQs by internal members or personnel of the entity.</t>
  </si>
  <si>
    <t>Third-party assessment</t>
  </si>
  <si>
    <t>Using independent 3rd party to collect information and provide answers for SAQs, this will be used mainly by entities which do not have enough skilled resources to perform the self-assessment or would like to have independent view on the maturity of the PKI. (if such scenario can happen…)</t>
  </si>
  <si>
    <t>Certified assessment</t>
  </si>
  <si>
    <t>Provided by us as PKI maturity assessment practitioners. Purpose of the certified assessment is to give consistent, reliable output of the PKI maturity rating across all entities. Certificate can be issued to prove the maturity level to other entities or create a badge on the website providing assurance for the customers and relying parties.</t>
  </si>
  <si>
    <t>If the category or even just one of its requirements is marked as Out of scope, please fill in the Reason column with the justification for removing the requirement/s from the scope.</t>
  </si>
  <si>
    <t>This justification can further serve as a basis for compiling the resulting report.</t>
  </si>
  <si>
    <t>For each category, there is a brief description and list of inputs that are evaluated in the category and any evidence that need to be documented as proof of the fulfillment of the requirements.</t>
  </si>
  <si>
    <t>To achieve a comprehensive assessment of PKI Maturity, it is necessary to evaluate all applicable requirements. Evaluating a request means assigning one of the following values to the request:</t>
  </si>
  <si>
    <t>Initial --&gt; Basic --&gt; Advanced --&gt; Managed --&gt; Optimized</t>
  </si>
  <si>
    <t>If the requirement is applicable and has not been assigned any of the values, it is marked as not evaluated in the evaluation and the evaluation is thus incomplete.</t>
  </si>
  <si>
    <t>The continuously achieved level of PKI Maturity can be monitored directly on the Assessment sheet in the progress bar in the upper right part of the sheet.</t>
  </si>
  <si>
    <t>The achieved level is highlighted in blue. The percentage figure given for the next higher level indicates the score so far leading to the achievement of that level.</t>
  </si>
  <si>
    <t>Report</t>
  </si>
  <si>
    <t>PKI Maturity assessment report plays a crucial role to achieve the consistency of the results and comparable outputs.</t>
  </si>
  <si>
    <t>Also, the possibility of reporting the maturity levels and progress is very important for continuous improvements and tracking of the PKI maturity in time.</t>
  </si>
  <si>
    <t>Assessment report</t>
  </si>
  <si>
    <t>The purpose of this report is to provide enough information in a presentable format for management, in order to support the PKI strategy and improvement.</t>
  </si>
  <si>
    <t>The assessment report should contain the following information:
- Overall maturity level with the description of the achieved level
- Simple overall rating with description
- Chart with the maturity levels in each of the category
- Recommendation to move to next maturity level (if applicable) (to improve) (table with the current snapshot and where it should be moved)
- Chart as comparison with similar companies</t>
  </si>
  <si>
    <t>Attestation</t>
  </si>
  <si>
    <t>This is a short report that can be presented to customers and relying parties to prove the compliance and maturity level of the PKI implementation.</t>
  </si>
  <si>
    <t>The attestation should contain:
- Overall maturity level achieved
- Date of the assessment
- Identification of the assessor (internal / external)</t>
  </si>
  <si>
    <t>Detailed report</t>
  </si>
  <si>
    <t>The purpose of the detailed report is to have all the information regarding the assessment and maturity model in one place. The end users of the detailed report are internal people managing the PKI.</t>
  </si>
  <si>
    <t>The detailed assessment report should contain the following:
- Overall rating of the assessment with description of achieved maturity level
- Detailed report about each of the category and its maturity level together with explanation why the level has such rating
- Chart with all categories
- Chart with industry ratings (similar organizations)
- Recommendation for progress with explanation how to achieve the next level (if applicable)
- Model explanation</t>
  </si>
  <si>
    <t>Evaluated Use-case information</t>
  </si>
  <si>
    <t>Use-case name</t>
  </si>
  <si>
    <t>Assessor</t>
  </si>
  <si>
    <t>Starting date</t>
  </si>
  <si>
    <t>Company</t>
  </si>
  <si>
    <t>Name</t>
  </si>
  <si>
    <t>Evaluation</t>
  </si>
  <si>
    <t>Reporting</t>
  </si>
  <si>
    <t>3Key Company</t>
  </si>
  <si>
    <t>Franta Hrábě</t>
  </si>
  <si>
    <t>PKI Maturity Model</t>
  </si>
  <si>
    <t>The objective of this document is to provide a definition of the PKI maturity model and what is the maturity assessment process and procedures in order to rate the current maturity level according the model and track progress.</t>
  </si>
  <si>
    <t>Maturity Model</t>
  </si>
  <si>
    <t>The maturity model is based on the Capability Maturity Model Integration (CMMI) developed by Carnegie Mellon University. It should provide the following:</t>
  </si>
  <si>
    <t>- Quickly understand the current level of capabilities and performance of the PKI
- Support comparison of PKI maturity with similar organizations based on size or industry (anonymized)
- Action plans on how to improve the capabilities of the current PKI
- Improve overall PKI performance</t>
  </si>
  <si>
    <t>Maturity Levels</t>
  </si>
  <si>
    <t>The maturity model consists of several categories which are directly associated with the PKI and covers all aspects and activities (people, processes, technology). Based on the maturity model parts, the overall maturity level is determined as a single value representing the current state of capabilities and performance.</t>
  </si>
  <si>
    <t>Each category can be separately assessed for its maturity level. Maturity levels are generally defined as follows:</t>
  </si>
  <si>
    <t>Short description (general)</t>
  </si>
  <si>
    <t>Unpredictable process with poor control and always reactive</t>
  </si>
  <si>
    <t>Process is characterized by each particular case or project and controls are often reactive</t>
  </si>
  <si>
    <t>Process is characterized by organizational standards and controls are proactive</t>
  </si>
  <si>
    <t>Processes are measured and controlled, proactive approach</t>
  </si>
  <si>
    <t>Continuous improvement of the processes and procedures, proactive approach for future technology improvement</t>
  </si>
  <si>
    <t>Modules</t>
  </si>
  <si>
    <t>There are 4 modules defined for the maturity model. Each of the module is focused on the specific parts of the PKI.</t>
  </si>
  <si>
    <t>Governance</t>
  </si>
  <si>
    <t>Management</t>
  </si>
  <si>
    <t>Operations</t>
  </si>
  <si>
    <t>Resources</t>
  </si>
  <si>
    <t>Consist of the leadership, overall structures, and processes to enable organization using the PKI in a sustainable way. In also consists of having strategy and objectives and proper decision making</t>
  </si>
  <si>
    <t>Translates the governance into actions that support the PKI, management of the resources to maintain the required level of trust</t>
  </si>
  <si>
    <t>Includes day to day business as usual activities that lead to secure and future-proof PKI in accordance with the organization goals</t>
  </si>
  <si>
    <t>Ensures that the activities related to the PKI are performed with a proper knowledge and experience, with enough capacities, and that it provides complete and accurate information to relying parties</t>
  </si>
  <si>
    <t>Categories and weights</t>
  </si>
  <si>
    <t>Strategy and vision</t>
  </si>
  <si>
    <t>Policies and documentation</t>
  </si>
  <si>
    <t>Compliance</t>
  </si>
  <si>
    <t>Processes and procedures</t>
  </si>
  <si>
    <t>Key Management</t>
  </si>
  <si>
    <t>Certificate Management</t>
  </si>
  <si>
    <t>Interoperability</t>
  </si>
  <si>
    <t>Infrastructure Management</t>
  </si>
  <si>
    <t>Change Management and Agility</t>
  </si>
  <si>
    <t>Sourcing</t>
  </si>
  <si>
    <t>Knowledge and Training</t>
  </si>
  <si>
    <t>Monitoring and Auditing</t>
  </si>
  <si>
    <t>Automation</t>
  </si>
  <si>
    <t>Awareness</t>
  </si>
  <si>
    <t>Resilience</t>
  </si>
  <si>
    <t>For more information on categories, please refer to the</t>
  </si>
  <si>
    <t>Categories Maturity Evaluation</t>
  </si>
  <si>
    <t>The weights of the categories are used to calculate the overall maturity level of the PKI.</t>
  </si>
  <si>
    <t>Each module consists of specific categories related to them.
The following categories of the PKI maturity model are defined with the appropriate weight based on the applicability and importance:</t>
  </si>
  <si>
    <t>Overall maturity level</t>
  </si>
  <si>
    <t>Based on the nature of PKI part, these maturity levels are described accordingly. Overall maturity level is calculated as weighted average of maturity level of PKI categories.</t>
  </si>
  <si>
    <t>There are defined the following overall maturity levels for the PKI Maturity Model:</t>
  </si>
  <si>
    <t>1 - Initial</t>
  </si>
  <si>
    <t>2 - Basic</t>
  </si>
  <si>
    <t>3 - Advanced</t>
  </si>
  <si>
    <t>- Certificate services are not consistent
- Procedures are defined and followed
- CP and CPS partially exist
- partially available resources and knowledge</t>
  </si>
  <si>
    <t>- PKI is ad-hoc managed, reactive
- There are minimum processes and procedures, which are typically not followed
- There is no approach how to address certificate related issues
- PKI does not take into account any industry standards or regulations
- Insufficient resources and knowledge</t>
  </si>
  <si>
    <t>4 - Managed</t>
  </si>
  <si>
    <t>5 - Optimized</t>
  </si>
  <si>
    <t>- PKI is ad-hoc managed, often reactive
- There are defined processes and procedures which are followed
- PKI is not managed according industry standards and regulations
- Insufficient knowledge</t>
  </si>
  <si>
    <t>- PKI is consistently managed
- Well defined CP and CPS for provided services
- Available skilled resources
- Documented processes and procedures to manage certificates and related keys
- Inconsistent approach to certificate related activities</t>
  </si>
  <si>
    <t>- Well defined CP and CPS
- Effective procedures for certificate management exist
- Resources with knowledge and experience available
- Consistent PKI with alignment to current practice and regulation
- Future proof</t>
  </si>
  <si>
    <t>- High probability of compromise
- High probability of operational issues
- No trust</t>
  </si>
  <si>
    <t>- High probability of operational issues
- Medium probability of compromise
- No trust</t>
  </si>
  <si>
    <t>- Medium probability of operational issues
- Low probability of compromise</t>
  </si>
  <si>
    <t>- Low probability of operational issues
- Low probability of compromise
- Low probability of loosing trust</t>
  </si>
  <si>
    <t>- Minimal probability of operational issues
- Minimal probability of compromise
- Minimal probability of loosing trust</t>
  </si>
  <si>
    <t>Target date</t>
  </si>
  <si>
    <t>Target date warning</t>
  </si>
  <si>
    <t>Beginning of the assessment</t>
  </si>
  <si>
    <t>Real finish of the assessment</t>
  </si>
  <si>
    <t>Assessor information</t>
  </si>
  <si>
    <t>Assessor's name</t>
  </si>
  <si>
    <t>Finish date</t>
  </si>
  <si>
    <t>Internal</t>
  </si>
  <si>
    <t>Assessor's position</t>
  </si>
  <si>
    <t>2.2.7.</t>
  </si>
  <si>
    <t>Cipher suites, for certificates specifically defining key algorithms, key security levels and signature algorithms are important to be crypto agile. For example, the change of the cipher suites can be required when the cryptographic algorithm becomes broken, or deprecated. An organization should have a clear rationale to the usage of specific algorithms, and how long they will be valid and what may replace them in the future.</t>
  </si>
  <si>
    <t>Date</t>
  </si>
  <si>
    <t>Position</t>
  </si>
  <si>
    <t>PKImodel</t>
  </si>
  <si>
    <t>Version</t>
  </si>
  <si>
    <t>Req</t>
  </si>
  <si>
    <t>Applicable_count</t>
  </si>
  <si>
    <t>N/A_count</t>
  </si>
  <si>
    <t>Achievement</t>
  </si>
  <si>
    <t>Level</t>
  </si>
  <si>
    <t>Chart</t>
  </si>
  <si>
    <t>PKI Maturity</t>
  </si>
  <si>
    <t>Assessment details</t>
  </si>
  <si>
    <t>Finishing date</t>
  </si>
  <si>
    <t>Duration</t>
  </si>
  <si>
    <t>Timing</t>
  </si>
  <si>
    <t>Use-case</t>
  </si>
  <si>
    <t>Use-case description</t>
  </si>
  <si>
    <t>Describe the use-case to be assessed:</t>
  </si>
  <si>
    <t>List all components that are involved in the use-case</t>
  </si>
  <si>
    <t>Specify out-of-scope considerations</t>
  </si>
  <si>
    <t>The PKI environment description should include the following information:</t>
  </si>
  <si>
    <t>High-level design of the PKI environment</t>
  </si>
  <si>
    <t>Points of interaction between parties involved in the use-cases</t>
  </si>
  <si>
    <t>Components</t>
  </si>
  <si>
    <t>Out-of-scope considerations</t>
  </si>
  <si>
    <t>Highlevel design</t>
  </si>
  <si>
    <t>Points of interaction</t>
  </si>
  <si>
    <t>PKI environment</t>
  </si>
  <si>
    <t>Use-case details</t>
  </si>
  <si>
    <t>PKI environment details</t>
  </si>
  <si>
    <t>High-level design of the PKI environment:</t>
  </si>
  <si>
    <t>Points of interaction between parties involved in the use-cases:</t>
  </si>
  <si>
    <t>Description of assessed use-case:</t>
  </si>
  <si>
    <t>List of components involved in the use-case:</t>
  </si>
  <si>
    <t>Specific out-of-scope considerations:</t>
  </si>
  <si>
    <t>in advance</t>
  </si>
  <si>
    <t>late</t>
  </si>
  <si>
    <t>day</t>
  </si>
  <si>
    <t>days</t>
  </si>
  <si>
    <t>Scope overview</t>
  </si>
  <si>
    <t>Total (applicable)</t>
  </si>
  <si>
    <t>Overall scope:</t>
  </si>
  <si>
    <t>Applicable requirements</t>
  </si>
  <si>
    <t>Overview by modules:</t>
  </si>
  <si>
    <t>Req.</t>
  </si>
  <si>
    <t>Achieved maturity level</t>
  </si>
  <si>
    <t>Cool PKI</t>
  </si>
  <si>
    <t xml:space="preserve">✔ </t>
  </si>
  <si>
    <t>Maturity level of Categories</t>
  </si>
  <si>
    <t>Maturity level of Modules</t>
  </si>
  <si>
    <t>Maturity levels chart</t>
  </si>
  <si>
    <t>PKI Maturity tool guidance</t>
  </si>
  <si>
    <t>➤</t>
  </si>
  <si>
    <t>•</t>
  </si>
  <si>
    <t>requirements</t>
  </si>
  <si>
    <t>req</t>
  </si>
  <si>
    <t>assessment</t>
  </si>
  <si>
    <t>cat</t>
  </si>
  <si>
    <t>mod</t>
  </si>
  <si>
    <t>Select value to show relevant requirements:</t>
  </si>
  <si>
    <t>External</t>
  </si>
  <si>
    <t>Introduce your use-case on “PKI Maturity Tool” sheet</t>
  </si>
  <si>
    <t>1.</t>
  </si>
  <si>
    <t>Fill in information about the use-case to be evaluated.</t>
  </si>
  <si>
    <t>Fill in information about the Assessor</t>
  </si>
  <si>
    <t>2.</t>
  </si>
  <si>
    <t>Assessor’s position</t>
  </si>
  <si>
    <t>Assessor’s name</t>
  </si>
  <si>
    <t>Provide detail information about the use-case</t>
  </si>
  <si>
    <t>3.</t>
  </si>
  <si>
    <t>Provide detail information about the PKI environment</t>
  </si>
  <si>
    <t xml:space="preserve">4. </t>
  </si>
  <si>
    <t>Type in the use-case name, which will identify this specific use-case among the others.</t>
  </si>
  <si>
    <t>Type in the name of company owning the use-case.</t>
  </si>
  <si>
    <t>Type in the date when the assessment starts.</t>
  </si>
  <si>
    <t>Type in the date of required or estimated ending of the assessment.</t>
  </si>
  <si>
    <t>Choose if the use-case is assessed by Internal or External assessor.</t>
  </si>
  <si>
    <t>Type in the name of company of the assessor.
In case of internal assessor the company will be the same as company owning the use-case.</t>
  </si>
  <si>
    <t>Type in the assessor's name.</t>
  </si>
  <si>
    <t>List of all components that are involved in the use-case</t>
  </si>
  <si>
    <t>Specification of out-of-scope considerations</t>
  </si>
  <si>
    <t>Description of high-level design of the PKI environment</t>
  </si>
  <si>
    <t>Specification points of interaction between parties involved in the use-cases</t>
  </si>
  <si>
    <t>Define scoping of assessment</t>
  </si>
  <si>
    <t>5.</t>
  </si>
  <si>
    <t>6.</t>
  </si>
  <si>
    <t>7.</t>
  </si>
  <si>
    <t>F</t>
  </si>
  <si>
    <t>K</t>
  </si>
  <si>
    <t>Perform assessment</t>
  </si>
  <si>
    <t>Decide which categories are in the scope – column F (Scope)</t>
  </si>
  <si>
    <t>For categories in scope, decide which requirements are in the scope – column K (Scope)</t>
  </si>
  <si>
    <t>For requirements and/or categories out of scope describe the reason of the decision – column L (Reason)</t>
  </si>
  <si>
    <t>8.</t>
  </si>
  <si>
    <t>Evaluate each applicable requirement – column I (Maturity level)</t>
  </si>
  <si>
    <t>9.</t>
  </si>
  <si>
    <t>Make notes if needed – column J (Notes)</t>
  </si>
  <si>
    <t>10.</t>
  </si>
  <si>
    <t>Any comments related to the request, ideas for improvement, persons or departments that could contribute to the evaluation of the request, etc.</t>
  </si>
  <si>
    <t>A description or, ideally, a link to a repository or knowledge base containing evidence demonstrating the level of fulfillment of the requirement.</t>
  </si>
  <si>
    <t>Add references on relevant evidence – column L (Evidence)</t>
  </si>
  <si>
    <t>11.</t>
  </si>
  <si>
    <t>Watch the continuously achieved level</t>
  </si>
  <si>
    <t>The "Assessment" sheet contains all requirements with detail guidance what and how to evaluate them. Requirements are grouped to the categories and categories are further grouped to the modules.</t>
  </si>
  <si>
    <t>Choose your report</t>
  </si>
  <si>
    <t>Select required detail of the report</t>
  </si>
  <si>
    <t>13.</t>
  </si>
  <si>
    <t>The "Evaluation" sheet provides results of the assessment and information about reached maturity level of the whole use-case, individual modules and all categories.</t>
  </si>
  <si>
    <t>The achieved level of use-case is supplemented with a brief description of the level.</t>
  </si>
  <si>
    <t>Review the results of assessment</t>
  </si>
  <si>
    <t>12.</t>
  </si>
  <si>
    <t>Check the achieved maturity level and statistics</t>
  </si>
  <si>
    <t>View a list of requirements by maturity level or non-applicable requirements</t>
  </si>
  <si>
    <t>Category is non-applicable and any of it's requirements will not affect result of PKI Maturity evaluation, regardless the values filled in the requirements scope cells.</t>
  </si>
  <si>
    <t>Requirements marked on "Scoping" sheet as non-applicable are inactive and grey.</t>
  </si>
  <si>
    <t>Last item on the sheet gives you possibility to display list of requirements filtered by maturity level or list of non-applicable requirements.</t>
  </si>
  <si>
    <t>For all levels of detail - use-case, modules, categories - are the statistics available, showing number of requirements in each maturity level, total number of applicable requirements and also non-applicable requirements.</t>
  </si>
  <si>
    <t>14.</t>
  </si>
  <si>
    <t>Short description:</t>
  </si>
  <si>
    <t>Maturity level:</t>
  </si>
  <si>
    <t>Use-case:</t>
  </si>
  <si>
    <t>Overview by categories:</t>
  </si>
  <si>
    <t>Attestation report</t>
  </si>
  <si>
    <t>Requirements overview</t>
  </si>
  <si>
    <t>Policies are living documents that are continuously updated and changed as technologies, security, and compliance requirements change. The policies should be reviewed and updated periodically. The frequency of review should be determined by the organization. Good practice is to review policies at least annually or when there are significant changes in the PKI or its environment.</t>
  </si>
  <si>
    <t>Achieved level</t>
  </si>
  <si>
    <t>Required level</t>
  </si>
  <si>
    <t>ActionPlans Lists</t>
  </si>
  <si>
    <t>2. Define your own action plans for each category to the dedicated boxes below.</t>
  </si>
  <si>
    <t>1. Select maturity level you want to achieve in future for each category.</t>
  </si>
  <si>
    <t>Action plans</t>
  </si>
  <si>
    <t>PKI Maturity Level evaluation overview</t>
  </si>
  <si>
    <t>Objectives</t>
  </si>
  <si>
    <t>Responsibility</t>
  </si>
  <si>
    <t>Schedule</t>
  </si>
  <si>
    <t>Outputs</t>
  </si>
  <si>
    <t>Tasks</t>
  </si>
  <si>
    <t>Comments</t>
  </si>
  <si>
    <t>Use-case overview</t>
  </si>
  <si>
    <t>Initial phase of assessment process is focused on the use-case to be assessed. Fill the Overview sheet with required information which will be used for definition of the assessed case and for reporting.</t>
  </si>
  <si>
    <t>Define your action plans</t>
  </si>
  <si>
    <t>15.</t>
  </si>
  <si>
    <t>Identify categories to be improved and desired maturity level</t>
  </si>
  <si>
    <t>Select required maturity level for each category you want to define action plan for.</t>
  </si>
  <si>
    <t>16.</t>
  </si>
  <si>
    <t>Fill in the Action plan form(s)</t>
  </si>
  <si>
    <t>describing the purpose of the action plan and what we want to achieve</t>
  </si>
  <si>
    <t>who is responsible for the action plan to be executed and implemented</t>
  </si>
  <si>
    <t>when the implementation of the action plan needs to be completed</t>
  </si>
  <si>
    <t>what resources are required to implement the action plan, including dependencies</t>
  </si>
  <si>
    <t>what are the expected outputs of the action plan</t>
  </si>
  <si>
    <t>breakdown of individual tasks that are required to be done to implement the action plan</t>
  </si>
  <si>
    <t>any additional comments that are relevant to the action plan</t>
  </si>
  <si>
    <t>The action plan forms are now visible for each category with selected desired maturity level. Fill in the following items of the form:</t>
  </si>
  <si>
    <t>Proper leadership and responsible person should be assigned by the management to fulfil the role for the establishment, maintenance, and development of the PKI according to the strategy and vision. The responsible person should be able to make decisions and take actions to ensure the PKI is aligned with the organizational goals and needs.</t>
  </si>
  <si>
    <t>Large organizations commonly have several PKI systems spread out in the organization. Some can be consolidated, but in many cases different PKI silos exists for good reasons. Having a central governance of PKIs across the organization will help to maintain best practices, ensure secure PKI operations, re-use PKI knowledge in the organization, ensure consistent profiles and avoid unnecessary duplication of effort.</t>
  </si>
  <si>
    <t>The change management and agility requirements should be periodically reviewed to ensure that they are still valid and relevant. The review should be performed by the responsible personnel and should be documented. A good practice is to review the change management and agility requirements at least once a year, however, the frequency of the review can be different depending on the PKI implementation.</t>
  </si>
  <si>
    <t>## Initial maturity level</t>
  </si>
  <si>
    <t>### Indicators</t>
  </si>
  <si>
    <t>- PKI is ad-hoc managed, reactive</t>
  </si>
  <si>
    <t>- There are minimum processes and procedures, which are typically not followed and</t>
  </si>
  <si>
    <t>### Associated risks</t>
  </si>
  <si>
    <t>## Basic maturity level</t>
  </si>
  <si>
    <t>- PKI is ad-hoc managed, often reactive</t>
  </si>
  <si>
    <t>## Advanced maturity level</t>
  </si>
  <si>
    <t>## Managed maturity level</t>
  </si>
  <si>
    <t>## Optimized maturity level</t>
  </si>
  <si>
    <t>- There is no approach how to address certificate related issues</t>
  </si>
  <si>
    <t>- PKI does not take into account any industry standards or regulations</t>
  </si>
  <si>
    <t>- Insufficient resources and knowledge</t>
  </si>
  <si>
    <t>- High probability of compromise</t>
  </si>
  <si>
    <t>- High probability of operational issues</t>
  </si>
  <si>
    <t>- no trust</t>
  </si>
  <si>
    <t>- There are defined processes and procedures which are followed</t>
  </si>
  <si>
    <t>- PKI is not managed according to industry standards and regulations</t>
  </si>
  <si>
    <t>- Insufficient knowledge</t>
  </si>
  <si>
    <t>- Medium probability of compromise</t>
  </si>
  <si>
    <t>- certificate services are not consistently managed</t>
  </si>
  <si>
    <t>- procedures are defined and followed</t>
  </si>
  <si>
    <t>- CP and CPS partially exist but not followed</t>
  </si>
  <si>
    <t>- partially available resources and knowledge</t>
  </si>
  <si>
    <t>- Medium probability of operational issues</t>
  </si>
  <si>
    <t>- Low probability of compromise</t>
  </si>
  <si>
    <t>- PKI is consistently managed</t>
  </si>
  <si>
    <t>- Well defined CP and CPS for provided services</t>
  </si>
  <si>
    <t>- available skilled resources</t>
  </si>
  <si>
    <t>- Documented processes and procedures to manage certificates and related keys</t>
  </si>
  <si>
    <t>- Inconsistent approach to certificate related activities</t>
  </si>
  <si>
    <t>- Low probability of operational issues</t>
  </si>
  <si>
    <t>- Low probability of compromise and loosing trust</t>
  </si>
  <si>
    <t>- Well-defined CP and CPS</t>
  </si>
  <si>
    <t>- Effective procedures for certificate management exist and are followed</t>
  </si>
  <si>
    <t>- resources with knowledge and experience available</t>
  </si>
  <si>
    <t>- Consistent PKI with alignment to current practice and regulation</t>
  </si>
  <si>
    <t>- Future proof</t>
  </si>
  <si>
    <t>- Minimal probability of operational issues</t>
  </si>
  <si>
    <t>- Minimal probability of compromise and loosing trust</t>
  </si>
  <si>
    <t>model/maturity-levels/_index.md</t>
  </si>
  <si>
    <t>| 1 | **[Initial](#initial-maturity-level)**     | Unpredictable process with poor control and always reactive                                                  |</t>
  </si>
  <si>
    <t>| 2 | **[Basic](#basic-maturity-level)**         | Process is characterized by each particular case or project and controls are often reactive                  |</t>
  </si>
  <si>
    <t>| 3 | **[Advanced](#advanced-maturity-level)**   | Process is characterized by organizational standards and controls are proactive                              |</t>
  </si>
  <si>
    <t>| 4 | **[Managed](#managed-maturity-level)**     | Processes are measured and controlled, proactive approach                                                    |</t>
  </si>
  <si>
    <t>| 5 | **[Optimized](#optimized-maturity-level)** | Continuous improvement of the processes and procedures, proactive approach for future technology improvement |</t>
  </si>
  <si>
    <t>categories/strategy-and-vision/_index.md</t>
  </si>
  <si>
    <t>|          [1](#organizational-sponsor-and-support) | Organizational sponsor and support          |      3 |</t>
  </si>
  <si>
    <t>| [2](#formal-assignment-of-responsible-leadership) | Formal assignment of responsible leadership |      2 |</t>
  </si>
  <si>
    <t>|          [3](#scope-and-business-drivers-for-PKI) | Scope and business drivers for PKI          |      2 |</t>
  </si>
  <si>
    <t>|          [4](#architecture-and-design-of-the-PKI) | Architecture and design of the PKI          |      1 |</t>
  </si>
  <si>
    <t>|</t>
  </si>
  <si>
    <t>## Details</t>
  </si>
  <si>
    <t>### Organizational sponsor and support</t>
  </si>
  <si>
    <t>#### Guidance</t>
  </si>
  <si>
    <t>The success of the PKI implementation highly depends on the organization top management support. Top management typically also acts as a sponsor of the PKI, meaning that they allocate and approve budget needed to build and maintain the PKI.</t>
  </si>
  <si>
    <t>The basic assumption is that the established digital trust is going to be maintained and developed for years, and therefore it is important to have a long-term vision and strategy for the PKI. The strategy and vision should be aligned with the overall organizational goals and approach.</t>
  </si>
  <si>
    <t>#### Assessment</t>
  </si>
  <si>
    <t>The following is sample evidence that can be used to assess the requirement:</t>
  </si>
  <si>
    <t>#### References</t>
  </si>
  <si>
    <t>- [ISO/IEC 27001 - Information security management systems](https://www.iso.org/standard/54534.html)</t>
  </si>
  <si>
    <t>### Formal assignment of responsible leadership</t>
  </si>
  <si>
    <t>The formal assignment of the responsible person should be documented and approved by the management. Formal document should contains identification of the person and understanding of the role and responsibilities.</t>
  </si>
  <si>
    <t>Interview with the responsible person should confirm the understanding of the role and responsibilities, driving the PKI implementation according to the organizational strategy.</t>
  </si>
  <si>
    <t>### Scope and business drivers for PKI</t>
  </si>
  <si>
    <t>The scope of the PKI should be clearly defined and documented. The scope should be defined in terms of the use-cases that the PKI is going to support. Each use-case can have a different requirements and therefore different strategy. The use-cases should be defined in terms of the business drivers that are going to be supported by the PKI. Business drivers helps to document alignment with the overall organizational goals.</t>
  </si>
  <si>
    <t>The scope and business drivers can be considered as a formal high-level overview of the PKI strategy and vision.</t>
  </si>
  <si>
    <t>Its purpose is also to create a common understanding of the organizational PKI and to provide direction for the detailed design and implementation.</t>
  </si>
  <si>
    <t>The target audience consists typically of architects, experts, advisors, management, and sponsors.</t>
  </si>
  <si>
    <t>- [The Open Group Architecture Framework (TOGAF)](https://www.opengroup.org/togaf)</t>
  </si>
  <si>
    <t>### Architecture and design of the PKI</t>
  </si>
  <si>
    <t>The architecture and design of the PKI should be documented to provide a clear understanding of the implementation and technologies that are involved. The architecture and design should be aligned with the scope and business drivers for the PKI and should be reviewed and updated regularly.</t>
  </si>
  <si>
    <t>The architecture and design typically consists of the following:</t>
  </si>
  <si>
    <t>- Support systems (such as IAM, logging, monitoring, etc.)</t>
  </si>
  <si>
    <t>The architecture and design are further used for the implementation of the PKI and serves as an input for the PKI team. It can be also used for the procurement of the PKI components and services that are needed for the implementation.</t>
  </si>
  <si>
    <t>- [ETSI EN 319 401 - General Policy Requirements for Trust Service Providers](https://www.etsi.org/deliver/etsi_en/319400_319499/319401/02.03.01_60/en_319401v020301p.pdf)</t>
  </si>
  <si>
    <t>- Interview with the top management</t>
  </si>
  <si>
    <t>- Documented strategy and vision</t>
  </si>
  <si>
    <t>- Documented organizational goals and approach</t>
  </si>
  <si>
    <t>- Understanding of why the PKI is needed and what is the value for the organization</t>
  </si>
  <si>
    <t>- Support and sponsorship of the top management</t>
  </si>
  <si>
    <t>- Documented scope of the PKI</t>
  </si>
  <si>
    <t>- Documented business drivers</t>
  </si>
  <si>
    <t>- Documented use-cases</t>
  </si>
  <si>
    <t>- Documented alignment with the organizational goals</t>
  </si>
  <si>
    <t>- Functional and technical design description</t>
  </si>
  <si>
    <t>- description of logical components</t>
  </si>
  <si>
    <t>- Network infrastructure design</t>
  </si>
  <si>
    <t>- Technology involved</t>
  </si>
  <si>
    <t>- Integration requirements and interfaces (APIs)</t>
  </si>
  <si>
    <t>- operational requirements</t>
  </si>
  <si>
    <t>- Security requirements</t>
  </si>
  <si>
    <t>- Deployment options</t>
  </si>
  <si>
    <t>- Staging and testing</t>
  </si>
  <si>
    <t>- Documented architecture and design</t>
  </si>
  <si>
    <t>- alignment with the scope and business drivers</t>
  </si>
  <si>
    <t>- Interview with the PKI team to confirm the Understanding of the architecture and design</t>
  </si>
  <si>
    <t>categories/policies-and-documentation/_index.md</t>
  </si>
  <si>
    <t>|              [1](#the-scope-of-policies-is-defined-and-documented) | The scope of policies is defined and documented              |      2 |</t>
  </si>
  <si>
    <t>|               [2](#certificate-policy-is-documented-and-published) | Certificate Policy is documented and published               |      5 |</t>
  </si>
  <si>
    <t>| [3](#certification-practice-statement-is-documented-and-published) | Certification Practice Statement is documented and published |      5 |</t>
  </si>
  <si>
    <t>|             [4](#disclosure-statement-is-documented-and-published) | Disclosure statement is documented and published             |      4 |</t>
  </si>
  <si>
    <t>|               [5](#policies-are-periodically-reviewed-and-updated) | Policies are periodically reviewed and updated               |      3 |</t>
  </si>
  <si>
    <t>### The scope of policies is defined and documented</t>
  </si>
  <si>
    <t>Each PKI implementation and use case is different, therefore it requires different care. The scope of policies that are applicable for the implementation should be defined and documented. When the proper description of the policies scope is provided, it helps all parties involved to understand the purpose of the policies and their applicability.</t>
  </si>
  <si>
    <t>The scope can include the following:</t>
  </si>
  <si>
    <t>- List of policies with references, versions, etc.</t>
  </si>
  <si>
    <t>- [RFC 3647 - Internet X.509 Public Key Infrastructure Certificate Policy and Certification Practices Framework](https://tools.ietf.org/html/rfc3647)</t>
  </si>
  <si>
    <t>### Certificate policy is documented and published</t>
  </si>
  <si>
    <t>Certificate Policy (CP) is used to establish the controls of the issuing party and the roles and responsibilities of its entities for the specific PKI implementation and use case. It's used to provide assurance to partners and show the trustworthiness by the use of standards. It can be considered as a high level contract between the parties involved in the PKI and therefore should be published and available to all parties involved.</t>
  </si>
  <si>
    <t>CPs are described in a document form where the content may differ. Multiple policies can be part of a single document for different use cases. A CP contains a set of rules that indicates the applicability of a certificate to a particular community and/or class of applications with common security requirements or level of security (for instance certificates for the purpose of: persons, domains, organizations, authenticity and confidentiality, services). To uniquely identify the purpose of the certificates the CP contains unique numbers (Object Identifier, OID) which needs to be registered.</t>
  </si>
  <si>
    <t>In general a CP addresses the following items:</t>
  </si>
  <si>
    <t>- The CP clearly defines the scope of the policy, such as the purpose of the security and assurance levels, the type and use of its certificates and parties involved</t>
  </si>
  <si>
    <t>- CP has listed correct object identifiers for the purpose it's used for</t>
  </si>
  <si>
    <t>- [ETSI EN 319 411-1 - Policy and security requirements for Trust Service Providers issuing certificates](https://www.etsi.org/deliver/etsi_en/319400_319499/31941101/01.03.01_60/en_31941101v010301p.pdf)</t>
  </si>
  <si>
    <t>### Certification practice statement is documented and published</t>
  </si>
  <si>
    <t>In addition to a CP, there is typically a Certification Practice Statement (CPS). While a CP is more at a strategic level, detailed information about how things should be carried out is part of a CPS (tactical level). The CP and CPS can be combined into a single managed document, however they are typically split for most of the PKI implementations for better orientation.</t>
  </si>
  <si>
    <t>The CPS covers the same items as the CP, but includes technical detail of how the CP is implemented. All parties involved in the PKI should be aware of the CPS and follow it. The CPS is a living document that is continuously updated and changed as technologies, security, and compliance requirements change.</t>
  </si>
  <si>
    <t>### Disclosure statement is documented and published</t>
  </si>
  <si>
    <t>The disclosure statement (DS) is a document that describes the PKI and its services. It refers to a document that discloses the relevant information about the CA and its services to the relying parties.</t>
  </si>
  <si>
    <t>It typically includes information like:</t>
  </si>
  <si>
    <t>- CA's identity, legal status, and contact information</t>
  </si>
  <si>
    <t>- Certificate types, verification procedures and compliance with standards</t>
  </si>
  <si>
    <t>- Agreement, CP and CPS</t>
  </si>
  <si>
    <t>The purpose of a DS is to provide transparency to relying parties, allowing them to assess the trustworthiness and reliability of the CA before relying on its certificates.</t>
  </si>
  <si>
    <t>### Policies are periodically reviewed and updated</t>
  </si>
  <si>
    <t>- Identification of the policies required for the implementation</t>
  </si>
  <si>
    <t>- Reasoning why the policies are required or not required</t>
  </si>
  <si>
    <t>- Structure of policies and documentation</t>
  </si>
  <si>
    <t>- any other relevant information</t>
  </si>
  <si>
    <t>- the scope of policies is defined and Documented</t>
  </si>
  <si>
    <t>- the scope of policies is complete</t>
  </si>
  <si>
    <t>- Interview with the management and PKI responsible personnel to confirm the scope</t>
  </si>
  <si>
    <t>- the CP is properly Documented in its full scope</t>
  </si>
  <si>
    <t>- the legal rights and responsibilities of parties are described in the CP</t>
  </si>
  <si>
    <t>- Verify that the CP is published and available to all parties involved</t>
  </si>
  <si>
    <t>- Interview with the management and PKI responsible personnel to confirm the CP is accurate and followed</t>
  </si>
  <si>
    <t>- the CPS is properly Documented in its full scope</t>
  </si>
  <si>
    <t>- CPS is published and available to all parties involved</t>
  </si>
  <si>
    <t>- Interview with the management and PKI responsible personnel to confirm the CPS is accurate and followed</t>
  </si>
  <si>
    <t>- confirm that the information in the CPS is Consistent with the information in the CP</t>
  </si>
  <si>
    <t>- Reliance limits</t>
  </si>
  <si>
    <t>- Obligations of the CA and the relying parties</t>
  </si>
  <si>
    <t>- Warranty and liability limitations</t>
  </si>
  <si>
    <t>- Privacy policy</t>
  </si>
  <si>
    <t>- Refund policy and claims</t>
  </si>
  <si>
    <t>- information on audit and compliance</t>
  </si>
  <si>
    <t>- the DS is properly Documented in its full scope</t>
  </si>
  <si>
    <t>- DS is published and available to all parties involved</t>
  </si>
  <si>
    <t>- Interview with the management and PKI responsible personnel to confirm the DS is accurate</t>
  </si>
  <si>
    <t>- confirm that the information in the DS is Consistent with the information in the CP and CPS</t>
  </si>
  <si>
    <t>- the policies are reviewed and updated periodically</t>
  </si>
  <si>
    <t>- Check the last review date of the policies</t>
  </si>
  <si>
    <t>- implementation of review process</t>
  </si>
  <si>
    <t>- Validation of documentation and reviews</t>
  </si>
  <si>
    <t>- Interview with the management and PKI responsible personnel to confirm the policies are reviewed and updated periodically</t>
  </si>
  <si>
    <t>- Certificate, CRL, and OCSP profiles</t>
  </si>
  <si>
    <t>- types of certificates</t>
  </si>
  <si>
    <t>- Document name and Identification</t>
  </si>
  <si>
    <t>- PKI participants</t>
  </si>
  <si>
    <t>- certificate usage</t>
  </si>
  <si>
    <t>- policy administration</t>
  </si>
  <si>
    <t>- Definitions</t>
  </si>
  <si>
    <t>- Publication and repository responsibilities</t>
  </si>
  <si>
    <t>- Identification and authentication</t>
  </si>
  <si>
    <t>- certificate life-cycle operational requirements</t>
  </si>
  <si>
    <t>- Facility management and operational controls</t>
  </si>
  <si>
    <t>- technical Security controls</t>
  </si>
  <si>
    <t>- compliance audit and other assessments</t>
  </si>
  <si>
    <t>- other business and legal matters</t>
  </si>
  <si>
    <t>|            [1](#compliance-policies-are-defined-implemented-and-communicated) | Compliance policies are defined, implemented, and communicated             |      3 |</t>
  </si>
  <si>
    <t>|        [2](#a-program-to-monitor-compliance-with-the-policies-is-established) | A program to monitor compliance with the policies is established           |      4 |</t>
  </si>
  <si>
    <t>|   [3](#responsibilities-for-the-compliance-are-formally-defined-and-assigned) | Responsibilities for the compliance are formally defined and assigned      |      3 |</t>
  </si>
  <si>
    <t>| [4](#list-of-relevant-laws-regulations-and-standards-exist-and-is-maintained) | List of relevant laws, regulations, and standards, exist and is maintained |      5 |</t>
  </si>
  <si>
    <t>### Compliance policies are defined, implemented, and communicated</t>
  </si>
  <si>
    <t>Compliance policies are a critical component of an organization’s risk management strategy to help ensure that the PKI system is secure, reliable, trustworthy, and meets any applicable regulatory requirements.</t>
  </si>
  <si>
    <t>By defining appropriate policies and related procedures and communicating these to all stakeholders who rely on the PKI, the organization can ensure that administrators, operators, and users are properly authenticated and authorized to access the system and that appropriate controls are in place to prevent unauthorized access or misuse of the PKI.</t>
  </si>
  <si>
    <t>Having a sound set of compliance policies defined, implemented, and communicated can help to demonstrate that the organization took reasonable steps to protect the PKI and may result in reduced legal liability in the event of a breach due to improper or malicious use of the PKI.</t>
  </si>
  <si>
    <t>The compliance policies typically include:</t>
  </si>
  <si>
    <t>- Laws, industry regulations and government legislation that apply to the organization business and PKI</t>
  </si>
  <si>
    <t>- References to relevant documents (anti-trust, anti-fraud, anti-bribery, anti-money laundering, due diligence, etc.)</t>
  </si>
  <si>
    <t>- [ISO 37301 - Compliance management systems and related standard](https://www.iso.org/standard/75080.html)</t>
  </si>
  <si>
    <t>- [NIST Risk Management Framework](https://csrc.nist.gov/Projects/risk-management)</t>
  </si>
  <si>
    <t>### A program to monitor compliance with the policies is established</t>
  </si>
  <si>
    <t>A PKI compliance monitoring program typically involves ongoing monitoring and testing of the controls and procedures to detect potential compliance violations associated with rules and regulations that govern the issuance, update, or revocation of certificates.</t>
  </si>
  <si>
    <t>These programs often include a risk assessment to identify and assess potential risks that could lead to non-compliance, including regulatory changes, operational changes, or employee turnover.</t>
  </si>
  <si>
    <t>The monitoring process may include reviewing documentation, conducting interviews with key stakeholders, and reporting any issues or compliance violations.  Reporting from compliance monitoring should be communicated to those stakeholders who committed the violation(s) and those stakeholders who are empowered to take corrective action to address the violations observed.</t>
  </si>
  <si>
    <t>- Documented practices regarding periodic and aperiodic compliance assessments</t>
  </si>
  <si>
    <t>- Documented practices for regularly review and reporting of security issues</t>
  </si>
  <si>
    <t>- Documented and implemented processes for investigation and response to suspicious activities</t>
  </si>
  <si>
    <t>### Responsibilities for the compliance are formally defined and assigned</t>
  </si>
  <si>
    <t>Within the organization, there should exist clear and well documented guidelines outlining which individual, group or team is responsible for ensuring that PKI policies are being followed. This applies to governance and oversight in addition to operational policies and procedures.</t>
  </si>
  <si>
    <t>Documenting specifically "who" shall be responsible for ensuring PKI policies are being enforced enhances accountability and trustworthiness of the PKI by enforcing the mentality that "someone is watching".  This will help to mitigate risks associated with improper or malicious acts.</t>
  </si>
  <si>
    <t>- For each defined procedure, a specific individual or team is identified and assigned to perform the tasks associated with the procedure</t>
  </si>
  <si>
    <t>### List of relevant laws, regulations, and standards, exist and is maintained</t>
  </si>
  <si>
    <t>To better understand the relevance to PKI, one should understand the differences between laws, regulations, and standards.</t>
  </si>
  <si>
    <t>Laws are legal rules that are enacted by a governing body, such as a federal, state or local government.  They are binding and enforceable by the legal system within the jurisdiction of the governing body that enacted them.  Violating law can lead to legal consequences, such as fines or imprisonment.</t>
  </si>
  <si>
    <t>Regulations are derived from laws and are often meant to supplement and clarify the broader provisions outlined in the laws.  Compliance with regulations is mandatory and non-compliance can result in penalties or other legal consequences.</t>
  </si>
  <si>
    <t>Standards are voluntary guidelines or specifications typically established by a particular industry group or standards organization.  Standards usually define best practices, technical specifications, quality benchmarks, and other criteria and are meant as a means of ensuring consistency, interoperability, and quality.  Typically, compliance with standards is not legally required, however, lack of conformance to standards can lead to diminished interoperability and reduced trust.</t>
  </si>
  <si>
    <t>With respect to PKI, it is very important to understand what laws, regulations and standards are relevant to the PKI and its ancillary systems.  For example, given that PKI involves cryptography, one must be certain to adhere to government laws regarding use and deployment of cryptographic products and solutions.</t>
  </si>
  <si>
    <t>And, many times, a PKI will make use of hardware cryptographic modules for key generation and storage.  Therefore, it’s critical to ensure that the hardware cryptographic modules comply with the relevant standards. There are many laws, regulations and standards that apply to PKI.  As such, it is necessary to maintain a list of the ones that are relevant to your organization to help ensure that none are being overlooked.</t>
  </si>
  <si>
    <t>- Documented list of applicable laws, regulations and standards is maintained</t>
  </si>
  <si>
    <t>- Procedures established for periodic review of the laws, regulations and standards</t>
  </si>
  <si>
    <t>- Roles and responsibilities</t>
  </si>
  <si>
    <t>- Reporting and auditing requirements</t>
  </si>
  <si>
    <t>- Documented audit and accountability policies</t>
  </si>
  <si>
    <t>- Documented communication plan for informing stakeholders of the policies</t>
  </si>
  <si>
    <t>- Formalized process for stakeholder acknowledgement upon receipt of the policies</t>
  </si>
  <si>
    <t>categories/compliance/_index.md</t>
  </si>
  <si>
    <t>categories/processes-and-procedures/_index.md</t>
  </si>
  <si>
    <t>|     [1](#scope-of-processes-and-procedure-is-aligned-with-policies) | Scope of processes and procedure is aligned with policies     |      4 |</t>
  </si>
  <si>
    <t>| [2](#processes-and-procedures-are-formally-documented-and-followed) | Processes and procedures are formally documented and followed |      3 |</t>
  </si>
  <si>
    <t>|                     [3](#recurring-activities-are-executed-on-time) | Recurring activities are executed on time                     |      5 |</t>
  </si>
  <si>
    <t>|          [4](#evidence-from-procedures-is-collected-and-maintained) | Evidence from procedures is collected and maintained          |      3 |</t>
  </si>
  <si>
    <t>|             [5](#processes-and-procedures-are-reviewed-and-updated) | Processes and procedures are reviewed and updated             |      2 |</t>
  </si>
  <si>
    <t>### Scope of processes and procedure is aligned with policies</t>
  </si>
  <si>
    <t>The scope of the processes and procedures should be aligned with the policies and statements. Each implementation and use case can have different scope, but the scope should be defined and documented, with all applicable processes, procedures, and eventually instructions.</t>
  </si>
  <si>
    <t>The alignment with the policies helps to ensure that the processes and procedures are aligned with the PKI implementation goals and needs, and can be effectively trusted over the time. A simple matrix can be used to ensure that all applicable policies and statements are covered by the processes and procedures.</t>
  </si>
  <si>
    <t>The completeness of the processes and procedures can be evaluated by the risk assessment, audit, or by the feedback from the users.</t>
  </si>
  <si>
    <t>The following is a sample evidence and information that can be collected during the assessment:</t>
  </si>
  <si>
    <t>### Processes and procedures are formally documented and followed</t>
  </si>
  <si>
    <t>Identified processes and procedures needs to be properly designed and documented with all relevant information like scope, purpose, inputs, outputs, roles and responsibilities, and other. The processes and procedures should be also reviewed and approved by the management.</t>
  </si>
  <si>
    <t>Once the processes and procedures are published, appropriate training is required to ensure they are followed by the PKI management and staff. Without following the processes and procedures, the PKI can be exposed to the risks and threats, and eventually lose any established trust.</t>
  </si>
  <si>
    <t>The following is sample evidence and information that can be collected during the assessment:</t>
  </si>
  <si>
    <t>- [ENISA Publications](https://www.enisa.europa.eu/publications)</t>
  </si>
  <si>
    <t>### Recurring activities are executed on time</t>
  </si>
  <si>
    <t>Recurring activities are the activities that are performed on a regular basis, such as certificate management operations, backup procedures, security reviews, risk assessment, reviews of logs and security events, and other.</t>
  </si>
  <si>
    <t>Each activity should be tracked and have a frequency defined, for example, some activities may be performed daily, weekly, monthly, quarterly, or yearly. The activities should be performed on time, and any delays should be properly tracked and reported.</t>
  </si>
  <si>
    <t>Recurring activities needs to be incorporated into the processes and procedures to support the PKI implementation.</t>
  </si>
  <si>
    <t>### Evidence from procedures is collected and maintained</t>
  </si>
  <si>
    <t xml:space="preserve">Each process, procedure, instruction, or activity would not be effective without evidence confirming that it was performed. The evidence should be descriptive with all relevant information, such as date and time, who performed the activity, what was the result, and other information, if needed. </t>
  </si>
  <si>
    <t>The evidence can be collected and maintained in various forms, such as logs, reports, notes, screenshots, etc. The evidence should be collected and maintained for the defined period of time, and should be available for the audit or other purposes.</t>
  </si>
  <si>
    <t>- Logs, reports, notes, screenshots, and other evidence</t>
  </si>
  <si>
    <t>### Processes and procedures are reviewed and updated</t>
  </si>
  <si>
    <t>The processes and procedures should be reviewed and updated on a regular basis, based on the feedback, risk assessment, audit, or other. The review should be performed by the management, and the updates should be approved by the management.</t>
  </si>
  <si>
    <t>The review and update of the processes and procedures helps to keep the PKI implementation up to date, and helps to ensure that the processes and procedures are effective and efficient.</t>
  </si>
  <si>
    <t>- Documented scope of the processes and procedures</t>
  </si>
  <si>
    <t>- alignment with the PKI policies and statements</t>
  </si>
  <si>
    <t>- Interview with the PKI management</t>
  </si>
  <si>
    <t>- Documented processes and procedures</t>
  </si>
  <si>
    <t>- Completeness of the processes and procedures documentation</t>
  </si>
  <si>
    <t>- Evidence of the processes and procedures usage</t>
  </si>
  <si>
    <t>- Interview with the PKI management and staff</t>
  </si>
  <si>
    <t>- Training materials covering the processes and procedures</t>
  </si>
  <si>
    <t>- Documented business as usual activities</t>
  </si>
  <si>
    <t>- Evidence of the business as usual activities execution</t>
  </si>
  <si>
    <t>- business as usual activities tracking and Reporting</t>
  </si>
  <si>
    <t>- Calendar of activities</t>
  </si>
  <si>
    <t>- Evidence of the execution of the processes and procedures</t>
  </si>
  <si>
    <t>- Documented review and update process</t>
  </si>
  <si>
    <t>- Evidence of the review and update of the processes and procedures</t>
  </si>
  <si>
    <t>categories/key-management/_index.md</t>
  </si>
  <si>
    <t>| [1](#key-management-roles-and-responsibilities-are-documented-and-formally-assigned) | Key management roles and responsibilities are documented and formally assigned |      2 |</t>
  </si>
  <si>
    <t>|                   [2](#inventory-of-cryptographic-keys-is-documented-and-maintained) | Inventory of cryptographic keys is documented and maintained                   |      2 |</t>
  </si>
  <si>
    <t>|                [3](#inventory-of-cryptographic-devices-is-documented-and-maintained) | Inventory of cryptographic devices is documented and maintained                |      1 |</t>
  </si>
  <si>
    <t>|      [4](#each-cryptographic-key-is-defined-and-has-documented-lifecycle-procedures) | Each cryptographic key is defined and has documented lifecycle procedures      |      2 |</t>
  </si>
  <si>
    <t>|        [5](#cryptographic-cipher-suites-and-protocols-are-documented-and-maintained) | Cryptographic cipher suites and protocols are documented and maintained        |      2 |</t>
  </si>
  <si>
    <t>|                            [6](#key-management-is-periodically-reviewed-and-updated) | Key management is periodically reviewed and updated                            |      3 |</t>
  </si>
  <si>
    <t>### Key management roles and responsibilities are documented and formally assigned</t>
  </si>
  <si>
    <t>Proper definition of roles and responsibilities for key management operations establishes a good basis for accountability and auditing. The roles and responsibilities should follow key management policy, principles, and boundaries.</t>
  </si>
  <si>
    <t>Personnel should be formally assigned to the role based on appropriate skills, and background check to ensure that there are no external risks associated that can cause potential compromise of key management.</t>
  </si>
  <si>
    <t>Naming or assignment records should contain relevant information such as:</t>
  </si>
  <si>
    <t>- Roles and responsibilities matrix (that may be used to cross-check if there are any conflicting roles)</t>
  </si>
  <si>
    <t>- [ISO/IEC 27001 and related standards](https://www.iso.org/isoiec-27001-information-security.html)</t>
  </si>
  <si>
    <t>### Inventory of cryptographic keys is documented and maintained</t>
  </si>
  <si>
    <t>Inventory of cryptographic keys is important and a strategic database for organizations to:</t>
  </si>
  <si>
    <t>- Quickly react to changes and incidents (deprecation of algorithms, compromise, new attacks and vulnerabilities)</t>
  </si>
  <si>
    <t>- Understand impact of lifecycle changes, migration and use of keys</t>
  </si>
  <si>
    <t>Although the cryptographic key inventory may be implemented and maintained using various tools and approaches, it should serve the purpose of having a consistent and accurate map of all cryptographic keys deployed in the organization with details like algorithm, key length, usage, storage, location, generation and distribution method, backup and recovery, key check value, fingerprint, number of share or components, owner or responsible person, uniqueness, crypto-periods, or any other applicable attributes and properties of the key.</t>
  </si>
  <si>
    <t>Inventory should follow procedures and business as usual activities to keep it accurate and updated in time.</t>
  </si>
  <si>
    <t>- [NIST SP 800-57 Recommendation for Key Management](https://csrc.nist.gov/projects/key-management/key-management-guidelines)</t>
  </si>
  <si>
    <t>- [ISO/IEC 11770 Key Management](https://www.iso.org/standard/53456.html)</t>
  </si>
  <si>
    <t>### Inventory of cryptographic devices is documented and maintained</t>
  </si>
  <si>
    <t>Sensitive cryptographic keys are protected by hardware security modules that can have various forms and comply with security standards such as FIPS 140-3 or Common Criteria Protection Profiles. The keys may be in some case software-protected when there is no high risk associated with its compromise.</t>
  </si>
  <si>
    <t>The approved ways of protecting cryptographic keys should have defined rules, which can be specified by the key management policy and followed using the key management procedures. Cryptographic devices that protect keys may be quickly identified using the inventory of cryptographic keys with reference to an inventory of cryptographic devices.</t>
  </si>
  <si>
    <t>The inventory of cryptographic devices should contain relevant information such as:</t>
  </si>
  <si>
    <t>- Completeness, accuracy, and consistency of inventory</t>
  </si>
  <si>
    <t>### Each cryptographic key is defined and has documented lifecycle procedures</t>
  </si>
  <si>
    <t>Each cryptographic key type that is defined and used for specific use-case should have a complete description of its lifecycle. Each lifecycle phase has a proper description of the process and is backed up with the procedure that is executed when needed.</t>
  </si>
  <si>
    <t>The key can have various lifecycle phases, such as generation, registration, initialization, distribution, loading, storage, archiving, backup, recovery, revocation, removal, destruction, or others applicable for the key.</t>
  </si>
  <si>
    <t>The lifecycle phases contains appropriate description of the procedure such as:</t>
  </si>
  <si>
    <t>### Cryptographic cipher suites and protocols are documented and maintained</t>
  </si>
  <si>
    <t>Protocols and encryption strengths may quickly change or be deprecated due to identification of vulnerabilities or design flaws. In order to support current and future data security needs, the organization should know where cryptography is used and understand how they would be able to respond rapidly to changes impacting the strength of their cryptographic implementations.</t>
  </si>
  <si>
    <t>Specific rules and boundaries to be applied for cryptographic cipher suites and protocols should be documented in encryption management policy that reflect the current status of cryptography practice.</t>
  </si>
  <si>
    <t>Cipher suites and protocols should be regularly checked against the implemented technology and configuration. Any deviation from the documented and allowed protocols should be fixed.</t>
  </si>
  <si>
    <t>- [NIST SP 800-131A Transitioning the Use of Cryptographic Algorithms and Key Lengths](https://csrc.nist.gov/publications/detail/sp/800-131a/rev-2/final)</t>
  </si>
  <si>
    <t>### Key management is periodically reviewed and updated</t>
  </si>
  <si>
    <t>Key management policy, processes and procedures related to cryptographic keys, inventory and lifecycle should be periodically reviewed, updated and approved. The frequency of review should be based on the organizational risks and needs to be protected against current and future trends.</t>
  </si>
  <si>
    <t>Periodical review helps to keep the key management accurate and helps to maintain required skills and knowledge.</t>
  </si>
  <si>
    <t>It provides assurance that the expected controls are active and working as intended.</t>
  </si>
  <si>
    <t>- Identification of personnel</t>
  </si>
  <si>
    <t>- Role to be assigned</t>
  </si>
  <si>
    <t>- Date of appointment</t>
  </si>
  <si>
    <t>- Confirmation of required skills</t>
  </si>
  <si>
    <t>- Acknowledgment of responsibilities</t>
  </si>
  <si>
    <t>- Documented roles and responsibilities</t>
  </si>
  <si>
    <t>- Signed naming protocol of personnel to Role(s)</t>
  </si>
  <si>
    <t>- Validation of required knowledge and skills</t>
  </si>
  <si>
    <t>- Review according to the key management policy</t>
  </si>
  <si>
    <t>- Monitor cryptographic key status and compliance</t>
  </si>
  <si>
    <t>- Documented inventory of cryptographic keys</t>
  </si>
  <si>
    <t>- Accuracy and consistency</t>
  </si>
  <si>
    <t>- Completeness of inventory</t>
  </si>
  <si>
    <t>- Validation of cryptographic key records</t>
  </si>
  <si>
    <t>- Vendor and device model Identification</t>
  </si>
  <si>
    <t>- Serial numbers</t>
  </si>
  <si>
    <t>- Hardware / firmware / software versions</t>
  </si>
  <si>
    <t>- Security certification and expiration dates</t>
  </si>
  <si>
    <t>- Locations</t>
  </si>
  <si>
    <t>- Documented requirements for cryptographic devices</t>
  </si>
  <si>
    <t>- Documented inventory of cryptographic devices</t>
  </si>
  <si>
    <t>- Validation of records</t>
  </si>
  <si>
    <t>- Prerequisites for execution</t>
  </si>
  <si>
    <t>- required roles and permissions</t>
  </si>
  <si>
    <t>- Procedure and records</t>
  </si>
  <si>
    <t>- Examine the definition of cryptographic key</t>
  </si>
  <si>
    <t>- Documented key lifecycle phases</t>
  </si>
  <si>
    <t>- Documented procedures and related records for the key lifecycle</t>
  </si>
  <si>
    <t>- lifecycle is integrated and followed in the organization</t>
  </si>
  <si>
    <t>- Documented encryption management policy</t>
  </si>
  <si>
    <t>- Validation of implementation and used protocols against what is Documented</t>
  </si>
  <si>
    <t>- Accuracy of the description</t>
  </si>
  <si>
    <t>- Security and vulnerabilities of applicable cipher suites and protocols</t>
  </si>
  <si>
    <t>- Risk management and Review frequency</t>
  </si>
  <si>
    <t>- implementation of Review process</t>
  </si>
  <si>
    <t>categories/certificate-management/_index.md</t>
  </si>
  <si>
    <t>|                         [1](#certificate-profiles-are-documented) | Certificate profiles are documented                         |      2 |</t>
  </si>
  <si>
    <t>|                    [2](#certificate-cipher-suites-are-documented) | Certificate cipher suites are documented                    |      3 |</t>
  </si>
  <si>
    <t>|              [3](#certificate-lifecycle-management-is-documented) | Certificate lifecycle management is documented              |      4 |</t>
  </si>
  <si>
    <t>|              [4](#inventory-of-issued-certificates-is-documented) | Inventory of issued certificates is documented              |      3 |</t>
  </si>
  <si>
    <t>|                 [5](#certificate-discovery-process-is-documented) | Certificate discovery process is documented                 |      2 |</t>
  </si>
  <si>
    <t>| [6](#certificate-management-is-periodically-reviewed-and-updated) | Certificate management is periodically reviewed and updated |      4 |</t>
  </si>
  <si>
    <t>|                               [7](#organizational-PKI-governance) | Organizational PKI governance                               |      2 |</t>
  </si>
  <si>
    <t>### Certificate profiles are documented</t>
  </si>
  <si>
    <t>Certificate profiles specify the contents of certificates for one or more use cases. It defines things such as:</t>
  </si>
  <si>
    <t>* Certificate use case(s) for certificates covered by specific profiles</t>
  </si>
  <si>
    <t>* Naming standards for subject distinguished name and subject alternative names, which are allowed and mandatory fields.</t>
  </si>
  <si>
    <t>* Certificate validity periods</t>
  </si>
  <si>
    <t>* Certificate extensions, mandatory and allowed extensions, their criticality and possible values</t>
  </si>
  <si>
    <t>* Allowed key types and signature algorithms</t>
  </si>
  <si>
    <t>* Revocation profiles, i.e. CRL and/or OCSP</t>
  </si>
  <si>
    <t>* Documented scope of applicability</t>
  </si>
  <si>
    <t>* Documented and approved certificate profiles</t>
  </si>
  <si>
    <t>* Content of the profiles is complete and unambiguous</t>
  </si>
  <si>
    <t>* Certificate profiles are implemented in certificattion authority</t>
  </si>
  <si>
    <t>* Certificate profiles are enforced by certification authority</t>
  </si>
  <si>
    <t>* Certificate profiles are compatible with RFC5280, or deviations are well documented</t>
  </si>
  <si>
    <t>* Profiles for CRLs and/or OCSP usage, i.e. validity periods, issuance intervals, max revocation time delay, etc</t>
  </si>
  <si>
    <t>Most certificate profiles aim for compatibility with RFC 5280 for maximum interoperability. Some examples of specific profiles are given below.</t>
  </si>
  <si>
    <t>* [RFC 5280 - Internet X.509 Public Key Infrastructure Certificate and Certificate Revocation List (CRL) Profile](https://datatracker.ietf.org/doc/html/rfc5280)</t>
  </si>
  <si>
    <t>* [CA/B Forum baseline requirements](https://cabforum.org/baseline-requirements/)</t>
  </si>
  <si>
    <t>* [ETSI Qualified Certificate Profiles](https://portal.etsi.org/TB-SiteMap/ESI/Trust-Service-Providers)</t>
  </si>
  <si>
    <t>* [ETSI 319-411-1](https://www.etsi.org/deliver/etsi_en/319400_319499/31941101/01.03.01_60/en_31941101v010301p.pdf)</t>
  </si>
  <si>
    <t>* [ETSI 319-411-2](https://www.etsi.org/deliver/etsi_en/319400_319499/31941102/02.03.01_60/en_31941102v020301p.pdf)</t>
  </si>
  <si>
    <t>* [UNISIG SUBSET-137](https://www.era.europa.eu/system/files/2022-11/index083_-_subset-137_v100.pdf)</t>
  </si>
  <si>
    <t>### Certificate cipher suites are documented</t>
  </si>
  <si>
    <t>* Determine the scope of applicability</t>
  </si>
  <si>
    <t>* Documented and approved cipher suites with rationale for inclusion of algorithms</t>
  </si>
  <si>
    <t>* Documented agile path for migration to other algorithms when needed</t>
  </si>
  <si>
    <t>* Cipher suites are enforced by certification authority</t>
  </si>
  <si>
    <t>* [SOG-IS crypto algorithms](https://www.sogis.eu/uk/supporting_doc_en.html)</t>
  </si>
  <si>
    <t>* NIST [Suite B](https://apps.nsa.gov/iaarchive/programs/iad-initiatives/cnsa-suite.cfm)</t>
  </si>
  <si>
    <t>* NIST approved algorithms [CNSA 2.0](https://media.defense.gov/2022/Sep/07/2003071834/-1/-1/0/CSA_CNSA_2.0_ALGORITHMS_.PDF)</t>
  </si>
  <si>
    <t>* [NIST SP 800-208 - Recommendation for Stateful Hash-Based Signature Schemes](https://csrc.nist.gov/publications/detail/sp/800-208/final)</t>
  </si>
  <si>
    <t>### Certificate lifecycle management is documented</t>
  </si>
  <si>
    <t>Issuance of certificates follow specific procedures, be it manual processes or automated processes using standard or non-standard PKI protocol. An organization should be clear about the full life cycle management of certificates:</t>
  </si>
  <si>
    <t>1. Certificate Application and the validation procedures used, by RAs and CAs</t>
  </si>
  <si>
    <t>2. Certificate Issuance and protocols used for enrollment, on-line and off-line</t>
  </si>
  <si>
    <t>3. Certificate Renewal, Re-key and Modification, upon expiration or other causes</t>
  </si>
  <si>
    <t xml:space="preserve">   * Process of monitoring certificates for expiration and timely renewal processes prevent common issues</t>
  </si>
  <si>
    <t>4. Certificate Revocation</t>
  </si>
  <si>
    <t xml:space="preserve">   * When certificates need to be revoked it is important to have a well-defined certificate revocation process:</t>
  </si>
  <si>
    <t xml:space="preserve">     * How subjects can request a certificate be revoked</t>
  </si>
  <si>
    <t xml:space="preserve">     * How to report misuse of certificates</t>
  </si>
  <si>
    <t xml:space="preserve">     * Expected time for revocation to be completed after a revocation request</t>
  </si>
  <si>
    <t>5. Certificate status dissemination</t>
  </si>
  <si>
    <t xml:space="preserve">   * How revocation information is disseminated to relying parties</t>
  </si>
  <si>
    <t>6. Key escrow and recovery</t>
  </si>
  <si>
    <t>7. Trust anchor management</t>
  </si>
  <si>
    <t xml:space="preserve">   * Trust anchors on machines and devices are a key point of trust management in the organization. Unmanaged trust stores can cause both outages and security issues.</t>
  </si>
  <si>
    <t>* Documented application and validation rules</t>
  </si>
  <si>
    <t>* Documented process for issuing certificates</t>
  </si>
  <si>
    <t xml:space="preserve">  * configuration of protocols</t>
  </si>
  <si>
    <t>* Documented Certificate Acceptance and certificate subject installation procedures</t>
  </si>
  <si>
    <t>* Documented renewal criteria, where re-key is nessecary and which certificate modifications are allowed</t>
  </si>
  <si>
    <t xml:space="preserve">  * Documented criticality of expiration for different use cases</t>
  </si>
  <si>
    <t xml:space="preserve">  * Automated monitoring and alerting of expiration for critical systems</t>
  </si>
  <si>
    <t xml:space="preserve">  * Automated certificate renewal</t>
  </si>
  <si>
    <t>* Documented revocation process</t>
  </si>
  <si>
    <t xml:space="preserve">  * Documented revocation procedures, both for subjects and administrators</t>
  </si>
  <si>
    <t xml:space="preserve">  * If suspension is used the process to lift (or remove) suspension</t>
  </si>
  <si>
    <t xml:space="preserve">  * Documented contact points for reports in the organizations or from relying parties</t>
  </si>
  <si>
    <t xml:space="preserve">  * List of relying parties that depend on updated revocation information</t>
  </si>
  <si>
    <t>* Documented Certificate status service</t>
  </si>
  <si>
    <t xml:space="preserve">  * OCSP and/or CRLs</t>
  </si>
  <si>
    <t xml:space="preserve">  * Documentation how relying parties get access to revocation information</t>
  </si>
  <si>
    <t>* Documented process for key escrow and recovery when encryption keys need to be stored centrally</t>
  </si>
  <si>
    <t>* Documented trust anchor management</t>
  </si>
  <si>
    <t xml:space="preserve">  * Distribution of new and updated trust anchors (Root CA certificates)</t>
  </si>
  <si>
    <t>Examples of process, protocols and profiled usage:</t>
  </si>
  <si>
    <t>* [RFC 4210 - Internet X.509 Public Key Infrastructure</t>
  </si>
  <si>
    <t xml:space="preserve">  Certificate Management Protocol (CMP)](https://datatracker.ietf.org/doc/html/rfc4210/)</t>
  </si>
  <si>
    <t>### Inventory of issued certificates is documented</t>
  </si>
  <si>
    <t>Certificate inventory consists of all known certificates and provides an overview of known certificates in the organization. Certificates in inventory are subject to certificate lifecycle management. The certificate inventory is important for the organization because:</t>
  </si>
  <si>
    <t>- provides possibility to react on certificate-related events (compromise, change, expiration, etc.)</t>
  </si>
  <si>
    <t>The certificate inventory therefore consists of information related to certificate like certificate attributes, validity and validation information, fingerprint and serial number, trust chain, owner, public key, signature algorithm, certificate type, compliance information, certificate locations, change history, or any other attributes and properties of the certificates that is required.</t>
  </si>
  <si>
    <t>* Documented inventory</t>
  </si>
  <si>
    <t xml:space="preserve">  * How inventory is maintained across the organization</t>
  </si>
  <si>
    <t>* Documented certificate inventory management</t>
  </si>
  <si>
    <t>* Validation of certificate inventory records</t>
  </si>
  <si>
    <t>* Effectiveness of the certificate inventory implementation</t>
  </si>
  <si>
    <t>* [RFC 3647 - Internet X.509 Public Key Infrastructure</t>
  </si>
  <si>
    <t xml:space="preserve">  Certificate Policy and Certification Practices Framework - Certificate Life-Cycle Operational Requirements](https://datatracker.ietf.org/doc/html/rfc3647/#section-4.4)</t>
  </si>
  <si>
    <t>* [NIST SP 800-57 Part 1 Rev. 5 - certificate inventory management](https://nvlpubs.nist.gov/nistpubs/SpecialPublications/NIST.SP.800-57pt1r5.pdf)</t>
  </si>
  <si>
    <t>### Certificate discovery process is documented</t>
  </si>
  <si>
    <t>Certificate discovery process protects an organization from unknown certificates that may be deployed in the infrastructure. Unknown certificates may be further issued by unauthorized certification authorities and mislead users of services. Certificate discovery helps to maintain current inventory of certificates, but does not depend on the inventory and is not nessecary to maintain an inventory. Certificate discovery process should be implemented based on supported certificates and use-cases, for example:</t>
  </si>
  <si>
    <t>Discovery process should be run frequently on the specified locations and the certificate inventory should be updated based on the results of the certificate discovery to keep it current.</t>
  </si>
  <si>
    <t>* Documented certificate discovery requirements</t>
  </si>
  <si>
    <t>* Documented certificate discovery process and frequency</t>
  </si>
  <si>
    <t>* The supporting tools for the certificate discovery</t>
  </si>
  <si>
    <t>* Certificate inventory is updated with discovered certificates</t>
  </si>
  <si>
    <t>### Certificate management is periodically reviewed and updated</t>
  </si>
  <si>
    <t>No certificate issuance and management system works over long periods of time without changes to use-cases, processes, protocols and algorithms. It is important that the certificate management is periodically reviewed and updated to avoid gaps. The frequency of review should be based on the organizational risks and needs to be protected against current and future trends.</t>
  </si>
  <si>
    <t>Periodical review helps to keep the certificate management accurate and helps to maintain required skills and knowledge.</t>
  </si>
  <si>
    <t>* Documented process for reviewing the certificate management process and systems</t>
  </si>
  <si>
    <t>* Ability to implement updates to certificate management system</t>
  </si>
  <si>
    <t>* Document management system and validation of review</t>
  </si>
  <si>
    <t>### Organizational PKI governance</t>
  </si>
  <si>
    <t>* Documented PKIs used in the organization</t>
  </si>
  <si>
    <t xml:space="preserve">  * Different PKI technologies used</t>
  </si>
  <si>
    <t xml:space="preserve">  * Installed PKI instances</t>
  </si>
  <si>
    <t>* Documented PKI best practices</t>
  </si>
  <si>
    <t xml:space="preserve">  * Installation procedures to avoid re-learning the same issues in different parts of the organization</t>
  </si>
  <si>
    <t xml:space="preserve">  * Configuration to ensure consistent and interoperable certificates where applicable</t>
  </si>
  <si>
    <t xml:space="preserve">  * Security to maintain a security base line across the whole organization</t>
  </si>
  <si>
    <t>* [3GPP 33.310 - Network Domain Security (NDS); Authentication Framework (AF)](https://portal.3gpp.org/desktopmodules/Specifications/SpecificationDetails.aspx?specificationId2293)</t>
  </si>
  <si>
    <t>- it provides immediate access to the current status of certificates</t>
  </si>
  <si>
    <t>- Understand impact of lifecycle changes</t>
  </si>
  <si>
    <t>- it gives information on all Locations of certificates</t>
  </si>
  <si>
    <t>- can enforce and maintain ownership of certificates</t>
  </si>
  <si>
    <t>- to scan the network for certificates used on known protocols and ports to discover certificates that can potentially cause service outage or breach</t>
  </si>
  <si>
    <t>- search for the certificates on file system to discover unauthorized or unsecured certificates</t>
  </si>
  <si>
    <t>categories/infrastructure-management/_index.md</t>
  </si>
  <si>
    <t>|            [1](#network-and-deployment-infrastructure-is-documented) | Network and deployment infrastructure is documented            |      4 |</t>
  </si>
  <si>
    <t>|             [2](#separation-and-segmentation-principles-are-applied) | Separation and segmentation principles are applied             |      3 |</t>
  </si>
  <si>
    <t>| [3](#network-vulnerability-management-is-implemented-and-maintained) | Network vulnerability management is implemented and maintained |      3 |</t>
  </si>
  <si>
    <t>|                    [4](#infrastructure-recovery-objectives-controls) | Infrastructure recovery objectives controls                    |      1 |</t>
  </si>
  <si>
    <t>|            [5](#infrastructure-activities-are-periodically-reviewed) | Infrastructure activities are periodically reviewed            |      2 |</t>
  </si>
  <si>
    <t>### Network and deployment infrastructure is documented</t>
  </si>
  <si>
    <t>The network and deployment documentation of the infrastructure should be aligned with the architecture and design of the PKI. In other terms, it provides details about how the implementation is done in the real environment.</t>
  </si>
  <si>
    <t>The network and deployment infrastructure should be properly documented and maintained. The documentation should include the following:</t>
  </si>
  <si>
    <t>- Supporting systems and services (identity management, access control, logging, monitoring, etc.)</t>
  </si>
  <si>
    <t>- [ISO/IEC 20000 and related standards](https://www.iso.org/standard/70636.html)</t>
  </si>
  <si>
    <t>- [Guidance for Containers and Container Orchestration Tools](https://docs-prv.pcisecuritystandards.org/Guidance%20Document/Containers%20and%20Container%20Orchestration%20Tools/Guidance-for-Containers-and-Container-Ochestration-Tools-v1_0.pdf)</t>
  </si>
  <si>
    <t>### Separation and segmentation principles are applied</t>
  </si>
  <si>
    <t>The PKI environment should be properly separated and segmented from other environments and systems. The separation and segmentation should be applied on all levels, including network, infrastructure, and application. The separation and segmentation should be applied based on the security requirements and risk assessment.</t>
  </si>
  <si>
    <t>Segmentation isolates the PKI environment from the remaining environment and reduces the risk of unauthorized access and data leakage. It also helps to reduce the impact of a potential compromise of the PKI environment from other systems and environments. Segmentation can be achieved using a number of physical or logical methods, such as:</t>
  </si>
  <si>
    <t>For the proper maintenance of the infrastructure and deployed PKI components, the staging/testing environment should be available in the same configuration as the production environment. If needed, development environments can be used for testing and development purposes.</t>
  </si>
  <si>
    <t>Production, staging, and development environments should be logically separated and isolated from each other, including the data that is used in the environments.</t>
  </si>
  <si>
    <t>### Network vulnerability management is implemented and maintained</t>
  </si>
  <si>
    <t>The network vulnerability management is a process that is used to identify, classify, remediate, and mitigate vulnerabilities in the network infrastructure and protects PKI implementation from potential attacks. The process should be implemented and maintained in order to ensure that the network infrastructure is properly secured and protected from potential attacks.</t>
  </si>
  <si>
    <t>The network vulnerability management should include the following:</t>
  </si>
  <si>
    <t>- [Common Vulnerability Scoring System (CVSS)](https://www.first.org/cvss/)</t>
  </si>
  <si>
    <t>### Infrastructure recovery objectives controls</t>
  </si>
  <si>
    <t>In case of issues with the infrastructure, it should be possible to quickly identify the root cause and recover the infrastructure to the operational state. The recovery objectives should be defined and aligned with the overall business continuity and disaster recovery strategy of the organization.</t>
  </si>
  <si>
    <t>The infrastructure should be frequently backed up and the backups should be stored in a secure location. The backups should be tested and validated on a regular basis. Infrastructure managed as code may help to reduce complexity and increase the speed of recovery.</t>
  </si>
  <si>
    <t>### Infrastructure activities are periodically reviewed</t>
  </si>
  <si>
    <t>Infrastructure management related activities should be periodically reviewed, updated and approved. The frequency of review should be based on the organizational risks and needs to be protected against current and future trends.</t>
  </si>
  <si>
    <t>Periodical review helps to keep the infrastructure management accurate and helps to maintain required skills and knowledge.</t>
  </si>
  <si>
    <t>The review can include the following:</t>
  </si>
  <si>
    <t>- Validation of documentation, reports, records, and reviews</t>
  </si>
  <si>
    <t>- PKI components and their dependencies</t>
  </si>
  <si>
    <t>- Facilities and equipment</t>
  </si>
  <si>
    <t>- Deployment infrastructure description</t>
  </si>
  <si>
    <t>- Clustering and load balancing</t>
  </si>
  <si>
    <t>- network topology and diagram</t>
  </si>
  <si>
    <t>- Communication and open ports requirements</t>
  </si>
  <si>
    <t>- Supporting cloud providers and services</t>
  </si>
  <si>
    <t>- Deployment documentation</t>
  </si>
  <si>
    <t>- Sample configuration of network to compare with the documentation</t>
  </si>
  <si>
    <t>- Integration with Supporting and other systems</t>
  </si>
  <si>
    <t>- Interview with the network administrators</t>
  </si>
  <si>
    <t>- Properly configured internal network Security controls</t>
  </si>
  <si>
    <t>- Routers with strong access control lists</t>
  </si>
  <si>
    <t>- other technologies that restrict access to a particular segment of a network</t>
  </si>
  <si>
    <t>- implementation of network isolation</t>
  </si>
  <si>
    <t>- Separation of production and testing environments</t>
  </si>
  <si>
    <t>- Sample data</t>
  </si>
  <si>
    <t>- Included in the overall vulnerability management process</t>
  </si>
  <si>
    <t>- Periodical scanning of the network infrastructure</t>
  </si>
  <si>
    <t>- Identification of vulnerabilities</t>
  </si>
  <si>
    <t>- Categorization and prioritization of vulnerabilities and remediation</t>
  </si>
  <si>
    <t>- Updating and patching requirements</t>
  </si>
  <si>
    <t>- network vulnerability management process</t>
  </si>
  <si>
    <t>- Results from last network vulnerability scan</t>
  </si>
  <si>
    <t>- remediation plan</t>
  </si>
  <si>
    <t>- infrastructure recovery objectives</t>
  </si>
  <si>
    <t>- Backup and recovery plan</t>
  </si>
  <si>
    <t>- infrastructure configuration as a code</t>
  </si>
  <si>
    <t>- Interview with the infrastructure administrators</t>
  </si>
  <si>
    <t>- changes made to the infrastructure</t>
  </si>
  <si>
    <t>- Regular checks of firewall rules</t>
  </si>
  <si>
    <t>- Review of the network topology</t>
  </si>
  <si>
    <t>- Review of the network segmentation</t>
  </si>
  <si>
    <t>- Regular checks of access control lists</t>
  </si>
  <si>
    <t>- vulnerability reports and timely remediation</t>
  </si>
  <si>
    <t>- Review and correlation of logs</t>
  </si>
  <si>
    <t>- and other activities related to the infrastructure management</t>
  </si>
  <si>
    <t>- infrastructure management activities Review frequency</t>
  </si>
  <si>
    <t>- Organizational implementation of Review process</t>
  </si>
  <si>
    <t>categories/change-management-and-agility/_index.md</t>
  </si>
  <si>
    <t>|  [1](#the-policy-for-change-management-and-agility-is-documented) | The policy for change management and agility is documented  |      4 |</t>
  </si>
  <si>
    <t>|     [2](#request-for-change-structure-is-documented-and-followed) | Request for change structure is documented and followed     |      3 |</t>
  </si>
  <si>
    <t>| [3](#the-change-management-process-is-documented-and-implemented) | The change management process is documented and implemented |      4 |</t>
  </si>
  <si>
    <t>|                     [4](#requirements-for-agility-are-identified) | Requirements for agility are identified                     |      2 |</t>
  </si>
  <si>
    <t>|      [5](#change-management-and-agility-is-periodically-reviewed) | Change management and agility is periodically reviewed      |      2 |</t>
  </si>
  <si>
    <t>### The policy for change management and agility is documented</t>
  </si>
  <si>
    <t>The policy for change management and agility should be documented and approved by the management. The policy contains principles and boundaries for the implementation of the change management and agility requirements. Typically, it can be documented on the organizational level and applied to all systems and services, including the PKI implementation.</t>
  </si>
  <si>
    <t>The PKI may have specific requirements for change management and agility, and therefore it may be recommended to have a separate policy for the PKI implementation. The policy should be aligned with organizational policy and should be approved by the responsible personnel for the PKI.</t>
  </si>
  <si>
    <t>The policy contains the following information:</t>
  </si>
  <si>
    <t>- [COBIT (Control Objectives for Information and Related Technologies)](https://www.isaca.org/resources/cobit)</t>
  </si>
  <si>
    <t>- [The Information Technology Infrastructure Library (ITIL)](https://www.axelos.com/best-practice-solutions/itil)</t>
  </si>
  <si>
    <t>### Request for change structure is documented and followed</t>
  </si>
  <si>
    <t>The request for change structure is the basic stone of each change management process. It provides information about a change, its scope, and other relevant data. The request for change structure should be formally documented and followed by all stakeholders involved.</t>
  </si>
  <si>
    <t>Request for change can contain any change that can affect the PKI implementation, including:</t>
  </si>
  <si>
    <t>- PKI upgrades, updates, and patches</t>
  </si>
  <si>
    <t>Request for change structure should cover the following information:</t>
  </si>
  <si>
    <t>### The change management process is documented and implemented</t>
  </si>
  <si>
    <t>The change management process is the core of the change management and agile systems. It provides a robust and reliable process to ensure that every change is properly assessed, approved, implemented, and eventually reviewed.</t>
  </si>
  <si>
    <t>The change management process should be documented, communicated, and integrated into the organization. The process states how a request for change can be submitted and how it is processed, which includes assessment and approval of the change, implementation of the change, functional testing after the change, and review of the change.</t>
  </si>
  <si>
    <t>### Requirements for agility are identified</t>
  </si>
  <si>
    <t>Agility provides the ability to adapt to changes quickly and efficiently. Agility and change management are closely related and should be considered together. The future-proof PKI implementation should be able to identify the requirements for agility and implement them in a timely manner.</t>
  </si>
  <si>
    <t>Agility can be considered on operational and technical levels. Operational agility means that the PKI is able to adapt to changes in the operational environment, including any changes to the organizational structure, processes, and other operational aspects. Technical agility means that the PKI is able to adapt to changes in the technologies, algorithms, protocols, and other technical aspects.</t>
  </si>
  <si>
    <t>Identification of requirements where agility is needed is important to ensure changes are implemented when needed.</t>
  </si>
  <si>
    <t>### Change management and agility is periodically reviewed</t>
  </si>
  <si>
    <t>- Approach to change management and agility</t>
  </si>
  <si>
    <t>- Principles and boundaries for change management and agility</t>
  </si>
  <si>
    <t>- roles and responsibilities</t>
  </si>
  <si>
    <t>- requirements for change management and agility</t>
  </si>
  <si>
    <t>- Tools and technologies used for change management</t>
  </si>
  <si>
    <t>- and other relevant information</t>
  </si>
  <si>
    <t>- Documented policy for change management and agility</t>
  </si>
  <si>
    <t>- Alignment with Organizational policy</t>
  </si>
  <si>
    <t>- Approval by the management</t>
  </si>
  <si>
    <t>- Understanding of the policy by the PKI personnel</t>
  </si>
  <si>
    <t>- and other relevant evidence</t>
  </si>
  <si>
    <t>- New components or functionalities</t>
  </si>
  <si>
    <t>- changes in the configuration of the PKI</t>
  </si>
  <si>
    <t>- changes in the algorithms and protocols</t>
  </si>
  <si>
    <t>- description of the change</t>
  </si>
  <si>
    <t>- Scope of the change</t>
  </si>
  <si>
    <t>- Category of the change</t>
  </si>
  <si>
    <t>- Impacted systems and services</t>
  </si>
  <si>
    <t>- Back-out Procedure in case of failure</t>
  </si>
  <si>
    <t>- testing requirements</t>
  </si>
  <si>
    <t>- Documented request for change structure</t>
  </si>
  <si>
    <t>- Sample of change request</t>
  </si>
  <si>
    <t>- Review implemented changes and compare with the request for change</t>
  </si>
  <si>
    <t>- Documented change management process</t>
  </si>
  <si>
    <t>- Steps involved in the change management process</t>
  </si>
  <si>
    <t>- Interview with the responsible personnel</t>
  </si>
  <si>
    <t>- agility requirements of the PKI implementation</t>
  </si>
  <si>
    <t>- configuration changes</t>
  </si>
  <si>
    <t>- changes in the operational environment</t>
  </si>
  <si>
    <t>- changes in the technologies</t>
  </si>
  <si>
    <t>- change management Review frequency</t>
  </si>
  <si>
    <t>- implementation of Review process and documentation</t>
  </si>
  <si>
    <t>categories/resilience/_index.md</t>
  </si>
  <si>
    <t>|       [1](#risk-assessment-and-business-impact-analysis) | Risk assessment and business impact analysis       |      6 |</t>
  </si>
  <si>
    <t>|    [2](#cyber-security-management-and-incident-planning) | Cyber-security management and incident planning    |      4 |</t>
  </si>
  <si>
    <t>| [3](#business-continuity-planning-and-disaster-recovery) | Business continuity planning and disaster recovery |      5 |</t>
  </si>
  <si>
    <t>|                         [4](#technology-future-proofing) | Technology future proofing                         |      3 |</t>
  </si>
  <si>
    <t>|                 [5](#competence-and-information-sharing) | Competence and information sharing                 |      3 |</t>
  </si>
  <si>
    <t>|                   [6](#continual-review-and-improvement) | Continual review and improvement                   |      4 |</t>
  </si>
  <si>
    <t>### Risk assessment and business impact analysis</t>
  </si>
  <si>
    <t>Proper risk assessment provides robust understanding about the risks and their impact on the business and organization PKI. The risk assessment results (for example potential loss scenarios) are documented and serves as input for the business impact analysis to identify the critical PKI-related business processes and their dependencies.</t>
  </si>
  <si>
    <t>Documented results of the business impact analysis are used to develop recovery strategies for the PKI implementation with required resources and availability.</t>
  </si>
  <si>
    <t>- [ISO/IEC 27005 - Guidance on managing information security risks](https://www.iso.org/standard/80585.html)</t>
  </si>
  <si>
    <t>- [ISO/TS 22317 - Guidelines for business impact analysis](https://www.iso.org/standard/79000.html)</t>
  </si>
  <si>
    <t>### Cyber-security management and incident planning</t>
  </si>
  <si>
    <t>Cyber-security management covers activities to ensure that the PKI is protected against known and zero-day vulnerabilities, cyberattacks and other threats. The operational procedures and technologies are evolving and the PKI needs to be able to adapt to the changes. Without knowing the threats and vulnerabilities, it is not possible to plan for the resilience and properly plan for incident response.</t>
  </si>
  <si>
    <t>Incident response planning helps to ensure that the organization is able to respond to the suspected incidents. Incident response plans should be documented and tested regularly. The result of executed incident response plans should be documented and used to improve the plan, even if it was a false alarm.</t>
  </si>
  <si>
    <t>Cyber-security management and incident planning covers important aspects such as vulnerability management and security operations center (SOC) identification and response to potential incidents.</t>
  </si>
  <si>
    <t>- [Common Vulnerabilities and Exposures (CVE) Program](https://www.cve.org/About/Overview)</t>
  </si>
  <si>
    <t>- [NIST Special Publication 800-61 Revision 2 - Computer Security Incident Handling Guide](https://csrc.nist.gov/publications/detail/sp/800-61/rev-2/final)</t>
  </si>
  <si>
    <t>- [SANS Guide to Security Operations](https://www.sans.org/posters/guide-to-security-operations/)</t>
  </si>
  <si>
    <t>### Business continuity planning and disaster recovery</t>
  </si>
  <si>
    <t>The business continuity planning and disaster recovery are the key activities to ensure availability of the PKI operations. The business continuity planning is used to define the recovery time objectives (RTO) and recovery point objectives (RPO) for the PKI. The RTO and RPO are used to define the required resources and their availability.</t>
  </si>
  <si>
    <t>Requirements for the business continuity and disaster recovery should be properly defined. It contains backups of the PKI resources, such as hardware security modules (HSM), databases, configuration files, etc. The availability of backups should be tested regularly to ensure that the backups are available when needed, especially during the disaster.</t>
  </si>
  <si>
    <t>Proper measures are applied to identify the disaster and a communication matrix is maintained to ensure that the right people are informed about the disaster on time and the recovery process can be started.</t>
  </si>
  <si>
    <t>The following parts are typically covered:</t>
  </si>
  <si>
    <t>- [ISO/IEC 22301 - Business continuity management systems](https://www.iso.org/standard/50056.html)</t>
  </si>
  <si>
    <t>- [NIST Special Publication 800-34 Revision 1 - Contingency Planning Guide for Federal Information Systems](https://csrc.nist.gov/publications/detail/sp/800-34/rev-1/final)</t>
  </si>
  <si>
    <t>### Technology future proofing</t>
  </si>
  <si>
    <t>Applicable technology should always be future proofed to ensure that the PKI is able to adapt to changes, and will support the organization PKI in the future when new standards, algorithms, and approach will be developed.</t>
  </si>
  <si>
    <t>When deciding to apply new technologies, or evaluating if the current technology is still suitable and support the goals of the PKI implementation, the following should be considered:</t>
  </si>
  <si>
    <t>- [ISO 223XX Security and resilience standards](https://www.iso.org/standard/77008.html)</t>
  </si>
  <si>
    <t>### Competence and information sharing</t>
  </si>
  <si>
    <t>Organization environments may change over time. The impact of changes can be in various forms, for example:</t>
  </si>
  <si>
    <t>- personnel can rotate in their positions, new people can be hired, or people can leave the organization</t>
  </si>
  <si>
    <t>- technologies are changing, therefore required skills and knowledge may change</t>
  </si>
  <si>
    <t>The organization needs to ensure that the competence of the personnel is maintained and the information is shared to not lose the knowledge introduced by changes within known and unknown variables. The organization should have a plan to ensure that the competence is maintained for the most critical parts of the PKI.</t>
  </si>
  <si>
    <t>The competence and information sharing is an important part to achieve the resilience of the PKI implementation by having relevant information and competencies ready when needed.</t>
  </si>
  <si>
    <t>### Continual review and improvement</t>
  </si>
  <si>
    <t>- [NIST Special Publications 800 - 30, 34, 37, 46, 53, 84](https://csrc.nist.gov/publications)</t>
  </si>
  <si>
    <t>- Risk management and assessment process</t>
  </si>
  <si>
    <t>- Documented Risk assessment Results</t>
  </si>
  <si>
    <t>- Documented business impact analysis Results</t>
  </si>
  <si>
    <t>- Documented recovery strategies</t>
  </si>
  <si>
    <t>- Understanding of the resilience and Approval of the Results</t>
  </si>
  <si>
    <t>- Documented vulnerability management</t>
  </si>
  <si>
    <t>- vulnerability scanning Results</t>
  </si>
  <si>
    <t>- Documented incident response plans</t>
  </si>
  <si>
    <t>- Documented incident response test Results</t>
  </si>
  <si>
    <t>- Monitoring of cyber-Security threats</t>
  </si>
  <si>
    <t>- Interview with the Security operations team</t>
  </si>
  <si>
    <t>- Scope of the business continuity and disaster recovery</t>
  </si>
  <si>
    <t>- Activation of disaster recovery</t>
  </si>
  <si>
    <t>- Physical Locations</t>
  </si>
  <si>
    <t>- Communication matrix</t>
  </si>
  <si>
    <t>- other requirements and information needed</t>
  </si>
  <si>
    <t>- Documented business continuity and disaster recovery plans</t>
  </si>
  <si>
    <t>- Documented recovery time objectives (RTO) and recovery point objectives (RPO)</t>
  </si>
  <si>
    <t>- Documented Backup and recovery procedures</t>
  </si>
  <si>
    <t>- Communication matrix and contact information</t>
  </si>
  <si>
    <t>- Availability of backups and other requirements to execute the disaster recovery Procedure</t>
  </si>
  <si>
    <t>- Periodically tested effectiveness of the disaster recovery</t>
  </si>
  <si>
    <t>- Technology is supported by the Vendor</t>
  </si>
  <si>
    <t>- Industry standards are applied for interoperability and Security</t>
  </si>
  <si>
    <t>- Review and references on the Vendor and Technology</t>
  </si>
  <si>
    <t>- Applicability of the Technology for long-term use</t>
  </si>
  <si>
    <t>- vulnerabilities and Security reports of the Technology</t>
  </si>
  <si>
    <t>- Integration capabilities and customizations needed</t>
  </si>
  <si>
    <t>- open source vs. proprietary Technology</t>
  </si>
  <si>
    <t>- Interview with the CTO or CIO</t>
  </si>
  <si>
    <t>- documentation of the Technology future proofing</t>
  </si>
  <si>
    <t>- RFI and RFP documents</t>
  </si>
  <si>
    <t>- Vendor and Technology check</t>
  </si>
  <si>
    <t>- procedures and eventually management of the PKI will be adjusted</t>
  </si>
  <si>
    <t>- documentation and collaboration</t>
  </si>
  <si>
    <t>- Onboarding and offboarding procedures</t>
  </si>
  <si>
    <t>- Building competence and knowledge sharing</t>
  </si>
  <si>
    <t>- resilience effectiveness Review frequency</t>
  </si>
  <si>
    <t>- Training records</t>
  </si>
  <si>
    <t>categories/interoperability/_index.md</t>
  </si>
  <si>
    <t>|     [1](#maintain-pki-interoperability-strategy) | Maintain PKI interoperability strategy     |      3 |</t>
  </si>
  <si>
    <t>|            [2](#documented-integration-guidance) | Documented integration guidance            |      1 |</t>
  </si>
  <si>
    <t>| [3](#adoption-and-application-of-open-standards) | Adoption and application of open standards |      3 |</t>
  </si>
  <si>
    <t>### Maintain PKI interoperability strategy</t>
  </si>
  <si>
    <t>The interoperability strategy defines the interoperability requirements and the approach to achieve interoperability between the PKI components to ensure the PKI implementation is able to adopt new technologies and standards in the future, and will not be locked-in to a specific vendor.</t>
  </si>
  <si>
    <t>PKI interoperability strategy should be maintained, documented, and integrated in the organization. It should cover at least the following information:</t>
  </si>
  <si>
    <t>The following evidence should be available for the assessment of the requirement:</t>
  </si>
  <si>
    <t>### Documented integration guidance</t>
  </si>
  <si>
    <t>To have effective interoperability between PKI components, it is important to have a proper integration in place that serves the purpose and does not expose any potential risks. Available and documented integration guidance for the developers and administrators should be maintained and updated regularly.</t>
  </si>
  <si>
    <t>The integration guidance should be available for all critical PKI components and should cover at least the following information:</t>
  </si>
  <si>
    <t>### Adoption and application of open standards</t>
  </si>
  <si>
    <t>Open standards are publicly available standards that are developed and maintained by communities or standardization bodies. Open standards are developed through a consensus-based process and are available to everyone without any restrictions. Open standards are usually free to use and implement.</t>
  </si>
  <si>
    <t>The open standards are important for interoperability as they are typically technology-agnostic and are supported by technologies and solutions. Open standards are applicable for interfaces, communication protocols, cryptographic algorithms, data formats, automation and orchestration, and other aspects of the PKI.</t>
  </si>
  <si>
    <t>The adoption of open standards significant increase interoperability and reduce the risk of vendor lock-in.</t>
  </si>
  <si>
    <t>- [Open Standards Principles](https://www.gov.uk/government/publications/open-standards-principles/open-standards-principles)</t>
  </si>
  <si>
    <t>- [IETF Request for Comments (RFC)](https://www.ietf.org/standards/rfcs/)</t>
  </si>
  <si>
    <t>- [OASIS Standards](https://www.oasis-open.org/standards)</t>
  </si>
  <si>
    <t>- [ISO Standards](https://www.iso.org/standards.html)</t>
  </si>
  <si>
    <t>- [ITU Standards](https://www.itu.int/en/ITU-T/standardization/)</t>
  </si>
  <si>
    <t>- [NIST Standards](https://www.nist.gov/standards)</t>
  </si>
  <si>
    <t>- [ETSI Standards](https://www.etsi.org/standards)</t>
  </si>
  <si>
    <t>- Application of interoperability</t>
  </si>
  <si>
    <t>- Using open standards and protocols</t>
  </si>
  <si>
    <t>- Conditions for PKI components to be interoperable</t>
  </si>
  <si>
    <t>- Restrictions on the use of proprietary interfaces</t>
  </si>
  <si>
    <t>- interoperability testing</t>
  </si>
  <si>
    <t>- requirements for migration to New technologies</t>
  </si>
  <si>
    <t>- requirements for vendors</t>
  </si>
  <si>
    <t>- other relevant information</t>
  </si>
  <si>
    <t>- Documented and approved interoperability strategy</t>
  </si>
  <si>
    <t>- interoperability strategy is integrated in the organization</t>
  </si>
  <si>
    <t>- Interview with the responsible person(s) to verify Understanding of the interoperability strategy</t>
  </si>
  <si>
    <t>- Review documentation for PKI components to verify the requirements for interoperability</t>
  </si>
  <si>
    <t>- Integration requirements and Prerequisites</t>
  </si>
  <si>
    <t>- applicable standards and protocols</t>
  </si>
  <si>
    <t>- Integration architecture</t>
  </si>
  <si>
    <t>- Integration testing</t>
  </si>
  <si>
    <t>- Documented Integration guidance for all critical PKI components</t>
  </si>
  <si>
    <t>- Interview with the system administrators and developers</t>
  </si>
  <si>
    <t>- Review of the Integration guidance</t>
  </si>
  <si>
    <t>- system configuration Review</t>
  </si>
  <si>
    <t>- Integration instructions provided by the vendors</t>
  </si>
  <si>
    <t>- Documented list of open standards used by the PKI</t>
  </si>
  <si>
    <t>- Policies requiring the use of open standards</t>
  </si>
  <si>
    <t>- Interview with the responsible person to verify Understanding of the open standards</t>
  </si>
  <si>
    <t>- Review of Training materials</t>
  </si>
  <si>
    <t>categories/monitoring-and-auditing/_index.md</t>
  </si>
  <si>
    <t>|                     [1](#monitoring-events-and-logging-requirements-are-defined-and-documented) | Monitoring events and logging requirements are defined and documented                     |      4 |</t>
  </si>
  <si>
    <t>|                                                     [2](#event-logs-from-systems-are-collected) | Event logs from systems are collected                                                     |      4 |</t>
  </si>
  <si>
    <t>|                                          [3](#audit-trail-can-be-reconstructed-from-audit-logs) | Audit trail can be reconstructed from audit logs                                          |      5 |</t>
  </si>
  <si>
    <t>|                              [4](#monitoring-of-operational-and-security-events-is-implemented) | Monitoring of operational and security events is implemented                              |      5 |</t>
  </si>
  <si>
    <t>| [5](#critical-events-are-immediately-alerted-and-resolved-according-to-incident-response-plans) | Critical events are immediately alerted and resolved according to incident response plans |      3 |</t>
  </si>
  <si>
    <t>|                                       [6](#review-of-events-and-logs-is-periodically-performed) | Review of events and logs is periodically performed                                       |      2 |</t>
  </si>
  <si>
    <t>### Monitoring events and logging requirements are defined and documented</t>
  </si>
  <si>
    <t>The monitoring and logging requirements should be defined and documented in the CP, CPS, or other relevant documents. The requirements should be aligned with the overall PKI policies and statements, and should be based on the risk assessment and management activities.</t>
  </si>
  <si>
    <t>The requirements can typically include:</t>
  </si>
  <si>
    <t>- Formatting and interpretation of logs (syslog, JSON, XML, CEF, etc.)</t>
  </si>
  <si>
    <t>- [ISO/IEC 27099 - Public key infrastructure](https://www.iso.org/standard/56590.html)</t>
  </si>
  <si>
    <t>### Event logs from systems are collected</t>
  </si>
  <si>
    <t>The event logs from systems should be collected and available for analysis, including correlation with other records. Centralized logging is recommended to ensure that the logs are collected and stored consistently. Solution like security information and event management (SIEM) can be used to collect and analyze the logs.</t>
  </si>
  <si>
    <t>The availability of records for analysis depends on understanding logging format and interpretation of the information, therefore each system should provide logs in a consistent format that can be further processed and analyzed (or automated).</t>
  </si>
  <si>
    <t>Logs and events should be collected from all systems that are relevant for the PKI implementation, such as key life cycle management events.</t>
  </si>
  <si>
    <t>The event should contain sufficient information to identify the event, including:</t>
  </si>
  <si>
    <t>- Identity or name of affected data, system component, or resource</t>
  </si>
  <si>
    <t>- [NIST - Guide to Computer Security Log Management](https://nvlpubs.nist.gov/nistpubs/Legacy/SP/nistspecialpublication800-92.pdf)</t>
  </si>
  <si>
    <t>### Audit trail can be reconstructed from audit logs</t>
  </si>
  <si>
    <t>Audit logging should be implemented to ensure that the audit trail can be reconstructed from audit logs any time. Audit logs are typically recorded for any user executed events that are important for security of the PKI implementation. Audit logs should be stored in a secure location. The audit logs should be protected against unauthorized access, modification, and deletion.</t>
  </si>
  <si>
    <t>Typically, the following events are important for security of the PKI implementation:</t>
  </si>
  <si>
    <t>- Use of and changes to identification and authentication mechanisms - including but not limited to creation of new accounts and elevation of privileges - and all changes, additions, or deletions to accounts with root or administrative privileges</t>
  </si>
  <si>
    <t>- Initialization, stopping, or pausing of the audit logs</t>
  </si>
  <si>
    <t>- Audit logs are protected against unauthorized access, modification, and deletion</t>
  </si>
  <si>
    <t>### Monitoring of operational and security events is implemented</t>
  </si>
  <si>
    <t>Monitoring of operational and security events should be implemented to ensure that the PKI implementation is operating as expected and that the security events are detected and responded to in a timely manner and that evidence of any malicious event is identified. The monitoring should be implemented for all critical systems and components, including the CA, RA, OCSP, HSM, and other relevant systems.</t>
  </si>
  <si>
    <t>Monitoring should be aligned with the monitoring and auditing requirements defined in the CP, CPS, and other relevant documents. The monitoring should be implemented to ensure that the requirements are met.</t>
  </si>
  <si>
    <t>- Review of monitoring implementation, including CA key life cycle management related events, security sensitive events, and other relevant events</t>
  </si>
  <si>
    <t>### Critical events are immediately alerted and resolved according to incident response plans</t>
  </si>
  <si>
    <t xml:space="preserve">Critical events should be immediately alerted and resolved according to incident response plans. Monitoring implementation should ensure that critical events are detected and alerted in a timely manner. This can be done manually or in an automated way. </t>
  </si>
  <si>
    <t>- Review of requirements for alerting on critical event, including security sensitive events</t>
  </si>
  <si>
    <t>### Review of events and logs is periodically performed</t>
  </si>
  <si>
    <t>Logs and events should be reviewed frequently, preferably automatically, to determine security related issues, potential systems failure, identify anomalies or suspected activity. Regular review should be confirmed by authorized personnel who can proactively identify issues before they become problems.</t>
  </si>
  <si>
    <t>The review of logs and events should be performed periodically and the frequency should be based on the risk assessment. Any potential issues should be reported and resolved according to the incident response plans.</t>
  </si>
  <si>
    <t>- events to be monitored</t>
  </si>
  <si>
    <t>- frequency of Monitoring</t>
  </si>
  <si>
    <t>- logs to be collected</t>
  </si>
  <si>
    <t>- Retention period for logs</t>
  </si>
  <si>
    <t>- Audit trail requirements</t>
  </si>
  <si>
    <t>- Audit log protection requirements</t>
  </si>
  <si>
    <t>- and other relevant requirements</t>
  </si>
  <si>
    <t>- Documented Monitoring and logging requirements</t>
  </si>
  <si>
    <t>- Policies and procedures for Monitoring and logging</t>
  </si>
  <si>
    <t>- Review of records</t>
  </si>
  <si>
    <t>- Interviews with personnel</t>
  </si>
  <si>
    <t>- User Identification</t>
  </si>
  <si>
    <t>- Type of event</t>
  </si>
  <si>
    <t>- Date and time</t>
  </si>
  <si>
    <t>- Success or failure indication</t>
  </si>
  <si>
    <t>- Origination of event</t>
  </si>
  <si>
    <t>- Additional details</t>
  </si>
  <si>
    <t>- logs are collected from systems</t>
  </si>
  <si>
    <t>- logs have a consistent format and can be further processed and analyzed</t>
  </si>
  <si>
    <t>- Review of records and their Formatting</t>
  </si>
  <si>
    <t>- Review of configuration standards for logging</t>
  </si>
  <si>
    <t>- Interviews with personnel to check the Understanding of logging format and interpretation of the information</t>
  </si>
  <si>
    <t>- all individual User accesses to sensitive data</t>
  </si>
  <si>
    <t>- all actions taken by any individual with root or administrative privileges</t>
  </si>
  <si>
    <t>- access to all Audit trails</t>
  </si>
  <si>
    <t>- Invalid logical access attempts</t>
  </si>
  <si>
    <t>- creation and deletion of system-level objects</t>
  </si>
  <si>
    <t>- Audit trail can be reconstructed from Audit logs</t>
  </si>
  <si>
    <t>- Audit logs are stored in a secure location</t>
  </si>
  <si>
    <t>- Interviews with personnel to Understand the Audit logging implementation</t>
  </si>
  <si>
    <t>- Monitoring of operational and Security events is implemented according to the requirements</t>
  </si>
  <si>
    <t>- Review of Monitoring events and alerts</t>
  </si>
  <si>
    <t>- Interviews with personnel responsible for Monitoring</t>
  </si>
  <si>
    <t>- Review of Monitoring implementation</t>
  </si>
  <si>
    <t>- Review of documentation of critical events</t>
  </si>
  <si>
    <t>- Interviews with personnel to check the Understanding of critical events and their handling</t>
  </si>
  <si>
    <t>- Review of logs and events is performed Periodically</t>
  </si>
  <si>
    <t>- Review of logs and events is performed according to the requirements</t>
  </si>
  <si>
    <t>- Review of logs and events is confirmed by authorized personnel</t>
  </si>
  <si>
    <t>- Interview with personnel responsible for Review of logs and events</t>
  </si>
  <si>
    <t>categories/automation/_index.md</t>
  </si>
  <si>
    <t>|               [1](#process-automation-description) | Process automation description               |      3 |</t>
  </si>
  <si>
    <t>| [2](#monitoring-and-auditing-of-automated-process) | Monitoring and auditing of automated process |      1 |</t>
  </si>
  <si>
    <t>|            [3](#incidents-and-exceptions-handling) | Incidents and exceptions handling            |      1 |</t>
  </si>
  <si>
    <t>### Process automation description</t>
  </si>
  <si>
    <t>Every automated certificate management process should be properly described and documented. The documentation should contain information relevant to the process automation and understanding the reasons for automation. Monitoring, auditing, and potential measures and controls would be ineffective without proper description and understanding of the automation process.</t>
  </si>
  <si>
    <t>The description can include for example the following:</t>
  </si>
  <si>
    <t>### Monitoring and auditing of automated process</t>
  </si>
  <si>
    <t>The automated process of certificate management can cause significant damage if misused or misconfigured. The monitoring and auditing of the automated process is essential to prevent the risk of misuse and to detect any potential issues, inefficiencies, or exceptions.</t>
  </si>
  <si>
    <t>The monitoring and auditing should be performed on a regular basis and should be aligned with the overall monitoring and auditing strategy of the organization.</t>
  </si>
  <si>
    <t>It should provide sufficient information to detect any potential issues with the automated process. For successful detection or identification of issues, proper expectations should be based on the description of the automated process.</t>
  </si>
  <si>
    <t>Monitoring of automated processes should be supported by monitoring tools and technologies that can provide the necessary overview, reporting, and potential alerting in case of issues.</t>
  </si>
  <si>
    <t>### Incidents and exceptions handling</t>
  </si>
  <si>
    <t>No automation is perfect and covers everything. There can be edge cases and other situations that were not part of the initial analysis or were simply forgotten. Therefore, there will always be exceptions and incidents that will require manual intervention. The automated process should be able to handle such exceptions and incidents in a way that will not cause any significant damage or disruption to the service.</t>
  </si>
  <si>
    <t xml:space="preserve">It may happen that some certificates are required to be handled manually and therefore the exception should be approved and documented. </t>
  </si>
  <si>
    <t>Handling of exceptional situations should be covered in the documentation, stating what should be done in case of an exception or incident:</t>
  </si>
  <si>
    <t>The handling of exceptions should be tested and verified on a regular basis to ensure that the process is working as expected.</t>
  </si>
  <si>
    <t>- use-case or process to be automated</t>
  </si>
  <si>
    <t>- Reasons for automation</t>
  </si>
  <si>
    <t>- description of the automation process</t>
  </si>
  <si>
    <t>- involved Tools and technologies</t>
  </si>
  <si>
    <t>- Monitoring and auditing requirements</t>
  </si>
  <si>
    <t>- Potential measures and controls</t>
  </si>
  <si>
    <t>- Exceptions</t>
  </si>
  <si>
    <t>- logging and reporting</t>
  </si>
  <si>
    <t>- any other relevant information and requirements</t>
  </si>
  <si>
    <t>- process automation description</t>
  </si>
  <si>
    <t>- Interview with the process owner</t>
  </si>
  <si>
    <t>- Interview with administrators</t>
  </si>
  <si>
    <t>- Sample of automated process logs</t>
  </si>
  <si>
    <t>- Documented Monitoring and auditing measures</t>
  </si>
  <si>
    <t>- Monitoring and auditing Tools and technologies applied</t>
  </si>
  <si>
    <t>- Sample report or dashboard from Monitoring</t>
  </si>
  <si>
    <t>- Interview with responsible personnel</t>
  </si>
  <si>
    <t>- Simulate failure of the automated certificate management process and verify that the failure is detected and reported</t>
  </si>
  <si>
    <t>- Communication of the exception</t>
  </si>
  <si>
    <t>- Approval of the exception</t>
  </si>
  <si>
    <t>- incident handling and reporting</t>
  </si>
  <si>
    <t>- Documented Exceptions</t>
  </si>
  <si>
    <t>- Interview with responsible personnel about how to handle Exceptions or incidents</t>
  </si>
  <si>
    <t>categories/sourcing/_index.md</t>
  </si>
  <si>
    <t>| [1](#resources-are-identified-and-documented) | Resources are identified and documented |      5 |</t>
  </si>
  <si>
    <t>|           [2](#resources-are-clearly-defined) | Resources are clearly defined           |      3 |</t>
  </si>
  <si>
    <t>|               [3](#availability-of-resources) | Availability of resources               |      4 |</t>
  </si>
  <si>
    <t>|     [4](#resources-are-periodically-reviewed) | Resources are periodically reviewed     |      3 |</t>
  </si>
  <si>
    <t>### Resources are identified and documented</t>
  </si>
  <si>
    <t xml:space="preserve">Resources needed for proper management of the PKI are identified and documented. Resources should be aligned with the PKI scope and use-case(s) that should be supported. The main question to answer here is "Do we know what resources we need to manage the PKI?". </t>
  </si>
  <si>
    <t>- Categorization of resources (an example can be people, processes, procedures, tools, technologies)</t>
  </si>
  <si>
    <t>### Resources are clearly defined</t>
  </si>
  <si>
    <t>Identified resources should be properly defined and specified. The specification depends on the type of the resource and can include for example the following:</t>
  </si>
  <si>
    <t>- People: required skills to perform the tasks, roles, and responsibilities</t>
  </si>
  <si>
    <t>- Tools: description, supported technologies</t>
  </si>
  <si>
    <t>- Financial resources: required budget, funding sources</t>
  </si>
  <si>
    <t>- Management resources: processes and procedures, inputs, outputs</t>
  </si>
  <si>
    <t>- Other resources: description, specification, requirements</t>
  </si>
  <si>
    <t>Without clearly defined resources, there could be misuse of the organization’s assets or inconsistent interaction with personnel and other parties, leading to insecure and untrusted implementation of the PKI.</t>
  </si>
  <si>
    <t>The following is a sample evidence that can be used to assess the requirement:</t>
  </si>
  <si>
    <t>- Categorization of resources (an example can be: people, processes, procedures, tools, technologies)</t>
  </si>
  <si>
    <t>### Availability of resources</t>
  </si>
  <si>
    <t>### Resources are periodically reviewed</t>
  </si>
  <si>
    <t>Resource should be periodically reviewed to ensure the accurate use of the resources and secure operations. Frequency of the review depends on the complexity and criticality of the infrastructure. Good practice is to perform reviews at least once a year.</t>
  </si>
  <si>
    <t>Review includes the following (but not limited to)</t>
  </si>
  <si>
    <t>- Documentation of any remediation plan, updates to sourcing of the PKI, that should be approved by the management</t>
  </si>
  <si>
    <t>- Resource management process</t>
  </si>
  <si>
    <t>- Documented requirements on the resources</t>
  </si>
  <si>
    <t>- Interview personnel in various roles</t>
  </si>
  <si>
    <t>- Review of the Resource management process</t>
  </si>
  <si>
    <t>- Review of the capacity or demand management process</t>
  </si>
  <si>
    <t>- Review of the assignment of the resources to the tasks</t>
  </si>
  <si>
    <t>- Utilization and performance of the services</t>
  </si>
  <si>
    <t>- Review of the specifications of the resources to continue support of the PKI</t>
  </si>
  <si>
    <t>- Review of the capacity or available resources</t>
  </si>
  <si>
    <t>- Vendor announcements</t>
  </si>
  <si>
    <t>- skills and knowledge of the personnel</t>
  </si>
  <si>
    <t>categories/knowledge-and-training/_index.md</t>
  </si>
  <si>
    <t>|                [1](#establish-training-plan) | Establish training plan                |      2 |</t>
  </si>
  <si>
    <t>| [2](#responsible-personnel-receive-training) | Responsible personnel receive training |      2 |</t>
  </si>
  <si>
    <t>|    [3](#perform-security-awareness-training) | Perform security awareness training    |      2 |</t>
  </si>
  <si>
    <t>|               [4](#establish-education-plan) | Establish education plan               |      1 |</t>
  </si>
  <si>
    <t>|          [5](#periodically-review-knowledge) | Periodically review knowledge          |      2 |</t>
  </si>
  <si>
    <t>### Establish training plan</t>
  </si>
  <si>
    <t>The training plan should be established and maintained to ensure that personnel have the required knowledge and skills to perform their duties and responsibilities. It should reflect the current state of the PKI implementation and be updated when the PKI implementation changes, and provide necessary information for all personnel that are involved in the PKI implementation.</t>
  </si>
  <si>
    <t>Training plan is built with PKI needs and requirements in mind and should cover:</t>
  </si>
  <si>
    <t>There can be different methods of training, depending on the needs and requirements:</t>
  </si>
  <si>
    <t>- [NIST SP 800-16 Information Technology Security Training Requirements: a Role- and Performance-Based Model](https://csrc.nist.gov/publications/detail/sp/800-16/final)</t>
  </si>
  <si>
    <t>- [NIST SP 800-50 Building an Information Technology Security Awareness and Training Program](https://csrc.nist.gov/publications/detail/sp/800-50/final)</t>
  </si>
  <si>
    <t>- [European Cybersecurity Skills Framework (ECSF)](https://www.enisa.europa.eu/topics/education/european-cybersecurity-skills-framework)</t>
  </si>
  <si>
    <t>### Responsible personnel receive training</t>
  </si>
  <si>
    <t>The responsible personnel should be aware of the current policies and procedures that are related to the context of the PKI implementation. Training should be provided to personnel that are responsible for the management, operation, and administration of the PKI.</t>
  </si>
  <si>
    <t>Training is provided in accordance with the current and approved training plan.</t>
  </si>
  <si>
    <t>Methods and training content can vary, depending on personnel roles and covers:</t>
  </si>
  <si>
    <t>For each training, attendance should be recorded and documented, and in case the training is not completed, the reason should be documented.</t>
  </si>
  <si>
    <t>In case there are requirements for score or threshold to be achieved, the results should be documented.</t>
  </si>
  <si>
    <t>### Perform security awareness training</t>
  </si>
  <si>
    <t>Security awareness education is an ongoing activity. The security awareness program is implemented to make all personnel aware of their role in protecting the security and establishing trust by the PKI implementation. It should stay up to date to reflect latest security trends, threats, and challenges.</t>
  </si>
  <si>
    <t>Security awareness should ensure that personnel are knowledgeable about the threat landscape, their responsibility for the operation of relevant security controls, and are able to access assistance and guidance when required.</t>
  </si>
  <si>
    <t>Different methods can be applied to provide security awareness, for example:</t>
  </si>
  <si>
    <t>- [PCI SSC - Best Practices for Implementing a</t>
  </si>
  <si>
    <t xml:space="preserve">  Security Awareness Program](https://docs-prv.pcisecuritystandards.org/Guidance%20Document/Security%20Awareness%20Program/PCI_DSS_V1.0_Best_Practices_for_Implementing_Security_Awareness_Program.pdf)</t>
  </si>
  <si>
    <t>- [Raising Awareness of Cybersecurity](https://www.enisa.europa.eu/publications/raising-awareness-of-cybersecurity)</t>
  </si>
  <si>
    <t>### Establish education plan</t>
  </si>
  <si>
    <t xml:space="preserve">Proper education plan is required to stay up to date with the development of the latest technologies, security practices, and controls that have impact on the PKI and its future development. </t>
  </si>
  <si>
    <t>The education plan should establish a robust base for the personnel to gain relevant knowledge that are out of scope of the internal training plan, but should be aligned with it to ensure that the personnel are able to perform their duties and responsibilities. The education plan should cover:</t>
  </si>
  <si>
    <t>Methods to provide education can vary:</t>
  </si>
  <si>
    <t>- Mentoring, coaching, and shadowing</t>
  </si>
  <si>
    <t>### Periodically review knowledge</t>
  </si>
  <si>
    <t>The training plan should be reviewed and updated periodically to ensure that it is up-to-date and covers all aspects of the specific PKI implementation.</t>
  </si>
  <si>
    <t>Periodical review of the training plans helps to maintain required skills and knowledge for the responsible personnel.</t>
  </si>
  <si>
    <t>- Training Prerequisites</t>
  </si>
  <si>
    <t>- Training matrix (who needs to be trained and what Training should be received)</t>
  </si>
  <si>
    <t>- Training schedule</t>
  </si>
  <si>
    <t>- Training format and methods</t>
  </si>
  <si>
    <t>- requirements on Training reports and records</t>
  </si>
  <si>
    <t>- Training plan Review and update</t>
  </si>
  <si>
    <t>- Instructor-led Training</t>
  </si>
  <si>
    <t>- internal or external webinars</t>
  </si>
  <si>
    <t>- Coaching</t>
  </si>
  <si>
    <t>- Self-paced Training</t>
  </si>
  <si>
    <t>- Online resources</t>
  </si>
  <si>
    <t>- Shadowing or reverse-Shadowing</t>
  </si>
  <si>
    <t>- Documented Training plan</t>
  </si>
  <si>
    <t>- Training plan is up-to-Date</t>
  </si>
  <si>
    <t>- Training plan is approved and communicated to all personnel</t>
  </si>
  <si>
    <t>- Training plan is integrated in organization</t>
  </si>
  <si>
    <t>- New hires as part of the Onboarding process</t>
  </si>
  <si>
    <t>- Periodic Training for all personnel (the frequency of the Training depends on the Role and responsibilities)</t>
  </si>
  <si>
    <t>- Review Training matrix</t>
  </si>
  <si>
    <t>- Review Documented Training Results</t>
  </si>
  <si>
    <t>- Review Training records</t>
  </si>
  <si>
    <t>- Relevancy of the Training content</t>
  </si>
  <si>
    <t>- Training is provided in accordance with the Training plan</t>
  </si>
  <si>
    <t>- Training Completeness</t>
  </si>
  <si>
    <t>- Posters and letters with the specific topic</t>
  </si>
  <si>
    <t>- team meetings and webinars</t>
  </si>
  <si>
    <t>- Security incentives and rewards</t>
  </si>
  <si>
    <t>- Training and education</t>
  </si>
  <si>
    <t>- Examine Security awareness program</t>
  </si>
  <si>
    <t>- Interview personnel to verify that they are aware of their responsibilities</t>
  </si>
  <si>
    <t>- Review Security awareness Training records</t>
  </si>
  <si>
    <t>- Security awareness Training is provided in accordance with the Training plan</t>
  </si>
  <si>
    <t>- Review content of the Security awareness Training</t>
  </si>
  <si>
    <t>- education requirements and Prerequisites</t>
  </si>
  <si>
    <t>- Recommended education Approach and methods</t>
  </si>
  <si>
    <t>- Approach to Monitor and assess the education Results</t>
  </si>
  <si>
    <t>- internal or external courses</t>
  </si>
  <si>
    <t>- incentives and rewards</t>
  </si>
  <si>
    <t>- Competitions and challenges</t>
  </si>
  <si>
    <t>- Review education plan and its Alignment with the Training plan</t>
  </si>
  <si>
    <t>- Interview personnel to verify their educational goals</t>
  </si>
  <si>
    <t>- Validate education records</t>
  </si>
  <si>
    <t>- Training plan Review process</t>
  </si>
  <si>
    <t>categories/awareness/_index.md</t>
  </si>
  <si>
    <t>|         [1](#establish-and-maintain-awareness-plan) | Establish and maintain awareness plan         |      2 |</t>
  </si>
  <si>
    <t>|                      [2](#disclose-pki-information) | Disclose PKI information                      |      2 |</t>
  </si>
  <si>
    <t>|             [3](#establish-single-point-of-contact) | Establish single point of contact             |      1 |</t>
  </si>
  <si>
    <t>| [4](#timely-communication-of-important-information) | Timely communication of important information |      2 |</t>
  </si>
  <si>
    <t>### Establish and maintain awareness plan</t>
  </si>
  <si>
    <t>Awareness plan should be established and maintained to ensure that the PKI participants are aware of all relevant events related to the PKI implementation and its purpose in the organization and outside. It should cover at lease the following information:</t>
  </si>
  <si>
    <t>Every PKI participant should receive information and relevant resource in a timely manner according to the awareness plan.</t>
  </si>
  <si>
    <t>- [RFC 3647 Internet X.509 Public Key Infrastructure Certificate Policy and Certification Practices Framework](https://datatracker.ietf.org/doc/html/rfc3647)</t>
  </si>
  <si>
    <t xml:space="preserve">- </t>
  </si>
  <si>
    <t>### Disclose PKI information</t>
  </si>
  <si>
    <t>Information about the policies, processes, and procedures that are maintained by the PKI should be disclosed to the PKI participants. This information should be available on a timely basis and in a form that is understandable to the PKI participants.</t>
  </si>
  <si>
    <t>Organization maintaining the PKI implementation should disclose the following information on a website or other appropriate media that can be reached by the PKI participants:</t>
  </si>
  <si>
    <t>The single point of contact (SPOC) provides a convenient way for any PKI participant to contact the organization and responsible personnel of the PKI implementation. The single point of contact should be available 24/7 and should be able to provide relevant information and trigger appropriate procedures if needed based on the situation.</t>
  </si>
  <si>
    <t>Contact information for the SPOC should be disclosed to all PKI participants.</t>
  </si>
  <si>
    <t>The SPOC may be reached through different communication channels, such as:</t>
  </si>
  <si>
    <t>In the event of an incident with high impact to the security and established trust of the PKI implementation, the organization should communicate the information to the PKI participants in a timely manner to avoid increased escalation of the event and inform participants of further actions that may be required to execute.</t>
  </si>
  <si>
    <t>Example of events that require timely communication may be:</t>
  </si>
  <si>
    <t>- Documented awareness plan</t>
  </si>
  <si>
    <t>- Review awareness content to ensure that it is contains relevant information</t>
  </si>
  <si>
    <t>- awareness plan is approved and communicated to all PKI participants</t>
  </si>
  <si>
    <t>- awareness plan is integrated in the organization</t>
  </si>
  <si>
    <t>- Revocation information</t>
  </si>
  <si>
    <t>- Valid CA certificates</t>
  </si>
  <si>
    <t>- Audit reports</t>
  </si>
  <si>
    <t>- Obligations of the PKI participants</t>
  </si>
  <si>
    <t>- Legal liability of the PKI participants</t>
  </si>
  <si>
    <t>- Warranty information</t>
  </si>
  <si>
    <t>- Disclaimer information</t>
  </si>
  <si>
    <t>- Privacy and data protection information</t>
  </si>
  <si>
    <t>- Review disclosure Statement content to ensure that it is contains relevant information</t>
  </si>
  <si>
    <t>- disclosure Statement is approved and communicated to all PKI participants</t>
  </si>
  <si>
    <t>- information is available to all PKI participants</t>
  </si>
  <si>
    <t>- Email</t>
  </si>
  <si>
    <t>- Phone</t>
  </si>
  <si>
    <t>- Web site form</t>
  </si>
  <si>
    <t>- Review that the SPOC communicates according to the awareness plan</t>
  </si>
  <si>
    <t>- Review that the SPOC is able to provide relevant information and trigger appropriate procedures if needed based on the situation</t>
  </si>
  <si>
    <t>- Security breach</t>
  </si>
  <si>
    <t>- Documented procedures to timely inform PKI participants about high impact events</t>
  </si>
  <si>
    <t>- Review that the procedures are followed</t>
  </si>
  <si>
    <t>Maturity levels</t>
  </si>
  <si>
    <t>|  1 | **[Strategy and vision](../strategy-and-vision/)**                     | Responsible for the PKI management and strategy. Includes alignment with organizational goals and requirements, risk management, and policy decisions.                                                                                      |</t>
  </si>
  <si>
    <t>|  2 | **[Policies and documentation](../policies-and-documentation/)**       | Formal policies and practice statements for supported PKI services and use-cases. Formal management of agreements between parties involved in the PKI.                                                                                      |</t>
  </si>
  <si>
    <t>|  3 | **[Compliance](../compliance/)**                                       | Adherence to standards and applicable regulations and requirements for the PKI and trust services. Standards and regulations may be internal or external, country specific or purpose specific.                                             |</t>
  </si>
  <si>
    <t>|  4 | **[Processes and procedures](../processes-and-procedures/)**           | Processes and procedures related to PKI management tasks and operational activities. This includes also the supply chain procedures and processes that includes acceptance or receipt of the HW and SW related to the PKI.                  |</t>
  </si>
  <si>
    <t>|  5 | **[Key Management](../key-management/)**                               | Key management policy and procedures related to PKI cryptographic keys and its lifecycle. Inventory of cryptographic keys. Secure and trusted key ceremonies. Key escrow and key recovery if applicable.                                    |</t>
  </si>
  <si>
    <t>|  6 | **[Certificate Management](../certificate-management/)**               | Certificate management policy and lifecycle. Inventory of certificates. Definition of the certificate profiles and supported states of the certificate including the transitions between the states. Proper validation fo the certificates. |</t>
  </si>
  <si>
    <t>|  7 | **[Interoperability](../interoperability/)**                           | Interoperability between applications, implementations, and technologies. Application of interoperable protocols and standards. Transparency and vendor lock avoidance strategy.                                                            |</t>
  </si>
  <si>
    <t>|  8 | **[Infrastructure Management](../infrastructure-management/)**         | Availability of the PKI services, infrastructure setup to achieve availability goals. PKI continuity testing and infrastructure recovery. Infrastructure security controls.                                                                 |</t>
  </si>
  <si>
    <t>|  9 | **[Change Management and Agility](../change-management-and-agility/)** | Secure and controlled process for the change management. Formal process to request changes in the PKI, approval, staging, roll-back.                                                                                                        |</t>
  </si>
  <si>
    <t>| 10 | **[Sourcing](../sourcing/)**                                           | Availability of skilled resources to manage PKI. Processes and procedures to maintain the required resources in time, monitoring of the skills.                                                                                             |</t>
  </si>
  <si>
    <t>| 11 | **[Knowledge and Training](../knowledge-and-training/)**               | Education of people and continuously gathering required knowledge and skills to manage PKI. Training plans and improvement.                                                                                                                 |</t>
  </si>
  <si>
    <t>| 12 | **[Monitoring and Auditing](../monitoring-and-auditing/)**             | Measurement of the PKI metrics, collecting evidence, monitoring and alerting of relevant issues, including references to incident response management.                                                                                      |</t>
  </si>
  <si>
    <t>| 13 | **[Automation](../automation/)**                                       | Automation of certificate lifecycle management. Technology and tools for the automation. Monitoring of automated certificate operations.                                                                                                    |</t>
  </si>
  <si>
    <t>| 14 | **[Awareness](../awareness/)**                                         | Providing awareness about the PKI in the organization and its purpose. Awareness how to apply the PKI in a trusted and secure way.                                                                                                          |</t>
  </si>
  <si>
    <t>| 15 | **[Resilience](../resilience/)**                                       | Quickly respond to potential attack and unavailability of the PKI services or other related resources.                                                                                                                                      |</t>
  </si>
  <si>
    <t>categories/list-of-categories/_index.md</t>
  </si>
  <si>
    <t>Categories weight</t>
  </si>
  <si>
    <t>| **Strategy and vision**           |      5 |</t>
  </si>
  <si>
    <t>| **Policies and documentation**    |      4 |</t>
  </si>
  <si>
    <t>| **Compliance**                    |      2 |</t>
  </si>
  <si>
    <t>| **Processes and procedures**      |      3 |</t>
  </si>
  <si>
    <t>| **Key Management**                |      4 |</t>
  </si>
  <si>
    <t>| **Certificate Management**        |      4 |</t>
  </si>
  <si>
    <t>| **Interoperability**              |      2 |</t>
  </si>
  <si>
    <t>| **Infrastructure Management**     |      2 |</t>
  </si>
  <si>
    <t>| **Change Management and Agility** |      3 |</t>
  </si>
  <si>
    <t>| **Sourcing**                      |      4 |</t>
  </si>
  <si>
    <t>| **Knowledge and Training**        |      3 |</t>
  </si>
  <si>
    <t>| **Monitoring and Auditing**       |      2 |</t>
  </si>
  <si>
    <t>| **Automation**                    |      2 |</t>
  </si>
  <si>
    <t>| **Awareness**                     |      3 |</t>
  </si>
  <si>
    <t>| **Resilience**                    |      4 |</t>
  </si>
  <si>
    <t>• Responsibility matrix
• Formal assignment for the responsibilities
• Documented PKI purpose and strategy</t>
  </si>
  <si>
    <t>• Documented certification policies and practice statements
• Documented PKI disclosure statement
• Availability and maintenance of policies</t>
  </si>
  <si>
    <t>• List of standards and regulations that PKI must comply with
• Responsibility for the compliance management</t>
  </si>
  <si>
    <t>• Documented processes and procedures
• Description of the supply chain
Validation of the integrity</t>
  </si>
  <si>
    <t>• Documented key management policy and procedures
• Inventory of cryptographic keys</t>
  </si>
  <si>
    <t>• Documented certificate profiles and lifecycle
• Inventory of certificates</t>
  </si>
  <si>
    <t>• Description of the availability requirements
• High availability and failover design
• Recovery procedures
• Network segmentation</t>
  </si>
  <si>
    <t>• Documented change management process
• Sample change requests</t>
  </si>
  <si>
    <t>• Vulnerability management
• Business continuity plans
• Future proofing</t>
  </si>
  <si>
    <t>• Integration guidance
• Supported protocols and priorities in usage of protocols
• Requirements for the vendor lock avoidance</t>
  </si>
  <si>
    <t>• Description of metrics
• Collecting of logs and records
• Incident response plans</t>
  </si>
  <si>
    <t>• Automation needs
• Tooling
• Automation monitoring</t>
  </si>
  <si>
    <t>• Roles and responsibilities to operate PKI
• Requirements for the skills
• Regular monitoring of the resource availability</t>
  </si>
  <si>
    <t>• Training plan
• Continuous education of the personnel</t>
  </si>
  <si>
    <t>• Awareness plan
• Awareness programQ&amp;A</t>
  </si>
  <si>
    <t>Input procedure:</t>
  </si>
  <si>
    <t>2. in Excel, insert in the upper box on the source sheet</t>
  </si>
  <si>
    <t>4. in Excel, insert in the bottom box on the source sheet</t>
  </si>
  <si>
    <t xml:space="preserve">1. in Github on the Code tab, highlight the table below the horizontal line, </t>
  </si>
  <si>
    <t>only the actual content and copy</t>
  </si>
  <si>
    <t xml:space="preserve">3. in Github, mark everything from 2nd level anchor (like ## Details) bellow </t>
  </si>
  <si>
    <t>the table to the end of the code and copy</t>
  </si>
  <si>
    <t xml:space="preserve">5. in Excel, mark the entire lower box after insertion (leave it marked after </t>
  </si>
  <si>
    <t>insertion) and replace "=" --&gt; "" (not even a space)</t>
  </si>
  <si>
    <t>This PKI maturity assessment tool is licensed under the Creative Commons Attribution 4.0 International (CC BY 4.0).</t>
  </si>
  <si>
    <t>- Compliance program management requirements</t>
  </si>
  <si>
    <t>- Any other relevant information that rule Compliance</t>
  </si>
  <si>
    <t>- Interview with the personnel to confirm understanding of the role and responsibilities</t>
  </si>
  <si>
    <t>- Procedures established to remediate Any deficiencies or non-Compliance issues identified</t>
  </si>
  <si>
    <t>- Procedures established to communicate results of the periodic reviews</t>
  </si>
  <si>
    <t>- Alignment with the scope of the use-case</t>
  </si>
  <si>
    <t>- Technologies: required functionality and performance</t>
  </si>
  <si>
    <t>- Alignment with the strategy of the organization and scope of the PKI</t>
  </si>
  <si>
    <t>- Analysis that the resources continue to match with the scope and capacity required to provide the services</t>
  </si>
  <si>
    <t>- Review announcements and technology trends (for example “end of life” plans for a technology)</t>
  </si>
  <si>
    <t>- Review of changes to the PKI scope</t>
  </si>
  <si>
    <t>- technology trends</t>
  </si>
  <si>
    <t>### Establish single point of contact</t>
  </si>
  <si>
    <t>### Timely communication of important information</t>
  </si>
  <si>
    <t>- How the organization discloses information to PKI participants</t>
  </si>
  <si>
    <t>- Contact information</t>
  </si>
  <si>
    <t>- How are changes communicated</t>
  </si>
  <si>
    <t>- Who is responsible for accurate awareness</t>
  </si>
  <si>
    <t>- Resolving communication issues and incidents</t>
  </si>
  <si>
    <t>- awareness plan is up-to-date</t>
  </si>
  <si>
    <t>- Certificate Policy</t>
  </si>
  <si>
    <t>- Certification Practice Statement</t>
  </si>
  <si>
    <t>- Vulnerability reports</t>
  </si>
  <si>
    <t>- Other relevant information</t>
  </si>
  <si>
    <t>- information is up-to-date</t>
  </si>
  <si>
    <t>- Other</t>
  </si>
  <si>
    <t>- Contact SPOC to ensure that it is available and responds in a timely manner</t>
  </si>
  <si>
    <t>- Compromise of the private key</t>
  </si>
  <si>
    <t>- changes in the Certificate Policy</t>
  </si>
  <si>
    <t>- changes in the Certification Practice Statement</t>
  </si>
  <si>
    <t>- Other events that may require immediate action by the PKI participants</t>
  </si>
  <si>
    <t>- Interview personnel to ensure that they are aware of the procedures and know How to communicate the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</si>
</sst>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charset val="238"/>
      <scheme val="minor"/>
    </font>
    <font>
      <b/>
      <sz val="11"/>
      <color theme="1"/>
      <name val="Calibri"/>
      <family val="2"/>
      <charset val="238"/>
      <scheme val="minor"/>
    </font>
    <font>
      <sz val="22"/>
      <color theme="1"/>
      <name val="Calibri"/>
      <family val="2"/>
      <charset val="238"/>
      <scheme val="minor"/>
    </font>
    <font>
      <i/>
      <sz val="11"/>
      <color theme="1"/>
      <name val="Calibri"/>
      <family val="2"/>
      <charset val="238"/>
      <scheme val="minor"/>
    </font>
    <font>
      <b/>
      <sz val="14"/>
      <color theme="1"/>
      <name val="Calibri"/>
      <family val="2"/>
      <charset val="238"/>
      <scheme val="minor"/>
    </font>
    <font>
      <sz val="28"/>
      <color theme="1"/>
      <name val="Calibri"/>
      <family val="2"/>
      <charset val="238"/>
      <scheme val="minor"/>
    </font>
    <font>
      <sz val="28"/>
      <name val="Calibri"/>
      <family val="2"/>
      <charset val="238"/>
      <scheme val="minor"/>
    </font>
    <font>
      <sz val="22"/>
      <name val="Calibri"/>
      <family val="2"/>
      <charset val="238"/>
      <scheme val="minor"/>
    </font>
    <font>
      <sz val="36"/>
      <color theme="1"/>
      <name val="Calibri"/>
      <family val="2"/>
      <charset val="238"/>
      <scheme val="minor"/>
    </font>
    <font>
      <sz val="14"/>
      <color theme="1"/>
      <name val="Calibri"/>
      <family val="2"/>
      <charset val="238"/>
      <scheme val="minor"/>
    </font>
    <font>
      <sz val="18"/>
      <color theme="1"/>
      <name val="Calibri"/>
      <family val="2"/>
      <charset val="238"/>
      <scheme val="minor"/>
    </font>
    <font>
      <b/>
      <sz val="12"/>
      <color theme="1"/>
      <name val="Calibri"/>
      <family val="2"/>
      <charset val="238"/>
      <scheme val="minor"/>
    </font>
    <font>
      <sz val="26"/>
      <color theme="0" tint="-4.9989318521683403E-2"/>
      <name val="Calibri"/>
      <family val="2"/>
      <charset val="238"/>
      <scheme val="minor"/>
    </font>
    <font>
      <sz val="14"/>
      <color rgb="FFC00000"/>
      <name val="Calibri"/>
      <family val="2"/>
      <charset val="238"/>
      <scheme val="minor"/>
    </font>
    <font>
      <sz val="11"/>
      <color rgb="FFC00000"/>
      <name val="Calibri"/>
      <family val="2"/>
      <charset val="238"/>
      <scheme val="minor"/>
    </font>
    <font>
      <sz val="11"/>
      <color theme="1"/>
      <name val="Calibri"/>
      <family val="2"/>
      <charset val="238"/>
      <scheme val="minor"/>
    </font>
    <font>
      <sz val="22"/>
      <color theme="0"/>
      <name val="Calibri"/>
      <family val="2"/>
      <charset val="238"/>
      <scheme val="minor"/>
    </font>
    <font>
      <sz val="15"/>
      <color theme="1" tint="0.34998626667073579"/>
      <name val="Arial"/>
      <family val="2"/>
    </font>
    <font>
      <b/>
      <sz val="38"/>
      <color theme="4" tint="-0.249977111117893"/>
      <name val="Calibri"/>
      <family val="2"/>
      <scheme val="minor"/>
    </font>
    <font>
      <b/>
      <sz val="12"/>
      <color theme="1" tint="0.34998626667073579"/>
      <name val="Arial"/>
      <family val="2"/>
    </font>
    <font>
      <b/>
      <sz val="11"/>
      <color rgb="FFC00000"/>
      <name val="Calibri"/>
      <family val="2"/>
      <charset val="238"/>
      <scheme val="minor"/>
    </font>
    <font>
      <b/>
      <sz val="11"/>
      <color theme="9"/>
      <name val="Calibri"/>
      <family val="2"/>
      <charset val="238"/>
      <scheme val="minor"/>
    </font>
    <font>
      <b/>
      <sz val="11"/>
      <color theme="7" tint="-0.249977111117893"/>
      <name val="Calibri"/>
      <family val="2"/>
      <charset val="238"/>
      <scheme val="minor"/>
    </font>
    <font>
      <u/>
      <sz val="11"/>
      <color theme="10"/>
      <name val="Calibri"/>
      <family val="2"/>
      <charset val="238"/>
      <scheme val="minor"/>
    </font>
    <font>
      <b/>
      <sz val="11"/>
      <color theme="0"/>
      <name val="Calibri"/>
      <family val="2"/>
      <charset val="238"/>
      <scheme val="minor"/>
    </font>
    <font>
      <b/>
      <sz val="48"/>
      <color theme="9" tint="-0.499984740745262"/>
      <name val="Calibri"/>
      <family val="2"/>
      <charset val="238"/>
      <scheme val="minor"/>
    </font>
    <font>
      <b/>
      <sz val="26"/>
      <color theme="9" tint="-0.499984740745262"/>
      <name val="Calibri"/>
      <family val="2"/>
      <charset val="238"/>
      <scheme val="minor"/>
    </font>
    <font>
      <b/>
      <sz val="24"/>
      <color theme="1"/>
      <name val="Calibri"/>
      <family val="2"/>
      <charset val="238"/>
      <scheme val="minor"/>
    </font>
    <font>
      <b/>
      <sz val="22"/>
      <color theme="1"/>
      <name val="Calibri"/>
      <family val="2"/>
      <charset val="238"/>
      <scheme val="minor"/>
    </font>
    <font>
      <b/>
      <sz val="20"/>
      <color theme="9" tint="-0.249977111117893"/>
      <name val="Calibri"/>
      <family val="2"/>
      <charset val="238"/>
      <scheme val="minor"/>
    </font>
    <font>
      <sz val="24"/>
      <color theme="1"/>
      <name val="Calibri"/>
      <family val="2"/>
      <charset val="238"/>
      <scheme val="minor"/>
    </font>
    <font>
      <sz val="48"/>
      <color theme="1"/>
      <name val="Calibri"/>
      <family val="2"/>
      <charset val="238"/>
      <scheme val="minor"/>
    </font>
    <font>
      <b/>
      <sz val="11"/>
      <color theme="9" tint="-0.499984740745262"/>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3"/>
      <color theme="1"/>
      <name val="Calibri"/>
      <family val="2"/>
      <charset val="238"/>
      <scheme val="minor"/>
    </font>
    <font>
      <sz val="11"/>
      <color theme="0"/>
      <name val="Calibri"/>
      <family val="2"/>
      <charset val="238"/>
      <scheme val="minor"/>
    </font>
    <font>
      <sz val="9"/>
      <color indexed="81"/>
      <name val="Tahoma"/>
      <family val="2"/>
      <charset val="238"/>
    </font>
    <font>
      <b/>
      <sz val="9"/>
      <color indexed="81"/>
      <name val="Tahoma"/>
      <family val="2"/>
      <charset val="238"/>
    </font>
    <font>
      <b/>
      <sz val="18"/>
      <color theme="1"/>
      <name val="Calibri"/>
      <family val="2"/>
      <charset val="238"/>
      <scheme val="minor"/>
    </font>
    <font>
      <b/>
      <sz val="11"/>
      <color theme="4" tint="-0.249977111117893"/>
      <name val="Calibri"/>
      <family val="2"/>
      <scheme val="minor"/>
    </font>
    <font>
      <b/>
      <sz val="12"/>
      <name val="Arial"/>
      <family val="2"/>
    </font>
    <font>
      <b/>
      <sz val="16"/>
      <color theme="1"/>
      <name val="Calibri"/>
      <family val="2"/>
      <charset val="238"/>
      <scheme val="minor"/>
    </font>
    <font>
      <b/>
      <sz val="36"/>
      <name val="Calibri"/>
      <family val="2"/>
      <charset val="238"/>
      <scheme val="minor"/>
    </font>
    <font>
      <sz val="11"/>
      <color theme="5" tint="0.79998168889431442"/>
      <name val="Calibri"/>
      <family val="2"/>
      <charset val="238"/>
      <scheme val="minor"/>
    </font>
    <font>
      <sz val="11"/>
      <color theme="5" tint="0.59999389629810485"/>
      <name val="Calibri"/>
      <family val="2"/>
      <charset val="238"/>
      <scheme val="minor"/>
    </font>
    <font>
      <sz val="11"/>
      <color theme="8" tint="0.79998168889431442"/>
      <name val="Calibri"/>
      <family val="2"/>
      <charset val="238"/>
      <scheme val="minor"/>
    </font>
    <font>
      <sz val="11"/>
      <color theme="8" tint="0.59999389629810485"/>
      <name val="Calibri"/>
      <family val="2"/>
      <charset val="238"/>
      <scheme val="minor"/>
    </font>
    <font>
      <sz val="11"/>
      <color theme="7" tint="0.79998168889431442"/>
      <name val="Calibri"/>
      <family val="2"/>
      <charset val="238"/>
      <scheme val="minor"/>
    </font>
    <font>
      <sz val="11"/>
      <color theme="7" tint="0.59999389629810485"/>
      <name val="Calibri"/>
      <family val="2"/>
      <charset val="238"/>
      <scheme val="minor"/>
    </font>
    <font>
      <sz val="11"/>
      <color theme="9" tint="0.79998168889431442"/>
      <name val="Calibri"/>
      <family val="2"/>
      <charset val="238"/>
      <scheme val="minor"/>
    </font>
    <font>
      <sz val="11"/>
      <color theme="9" tint="0.59999389629810485"/>
      <name val="Calibri"/>
      <family val="2"/>
      <charset val="238"/>
      <scheme val="minor"/>
    </font>
    <font>
      <sz val="11"/>
      <color theme="3" tint="0.59999389629810485"/>
      <name val="Calibri"/>
      <family val="2"/>
      <charset val="238"/>
      <scheme val="minor"/>
    </font>
    <font>
      <b/>
      <sz val="14"/>
      <color rgb="FF0070C0"/>
      <name val="Calibri"/>
      <family val="2"/>
      <charset val="238"/>
      <scheme val="minor"/>
    </font>
    <font>
      <sz val="11"/>
      <name val="Calibri"/>
      <family val="2"/>
      <charset val="238"/>
      <scheme val="minor"/>
    </font>
    <font>
      <b/>
      <sz val="46"/>
      <color theme="9" tint="-0.499984740745262"/>
      <name val="Calibri"/>
      <family val="2"/>
      <charset val="238"/>
      <scheme val="minor"/>
    </font>
    <font>
      <sz val="16"/>
      <color rgb="FF212529"/>
      <name val="Arial"/>
      <family val="2"/>
    </font>
  </fonts>
  <fills count="32">
    <fill>
      <patternFill patternType="none"/>
    </fill>
    <fill>
      <patternFill patternType="gray125"/>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59999389629810485"/>
        <bgColor indexed="64"/>
      </patternFill>
    </fill>
    <fill>
      <patternFill patternType="solid">
        <fgColor theme="6" tint="0.39997558519241921"/>
        <bgColor indexed="64"/>
      </patternFill>
    </fill>
    <fill>
      <gradientFill degree="90">
        <stop position="0">
          <color theme="8"/>
        </stop>
        <stop position="1">
          <color theme="8" tint="-0.49803155613879818"/>
        </stop>
      </gradient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249977111117893"/>
        <bgColor indexed="64"/>
      </patternFill>
    </fill>
    <fill>
      <gradientFill degree="90">
        <stop position="0">
          <color theme="0"/>
        </stop>
        <stop position="0.5">
          <color rgb="FF0070C0"/>
        </stop>
        <stop position="1">
          <color theme="0"/>
        </stop>
      </gradientFill>
    </fill>
    <fill>
      <patternFill patternType="solid">
        <fgColor theme="4" tint="0.59999389629810485"/>
        <bgColor indexed="64"/>
      </patternFill>
    </fill>
    <fill>
      <patternFill patternType="solid">
        <fgColor theme="6" tint="0.79998168889431442"/>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style="thin">
        <color indexed="64"/>
      </right>
      <top/>
      <bottom/>
      <diagonal/>
    </border>
    <border>
      <left style="thin">
        <color indexed="64"/>
      </left>
      <right style="medium">
        <color theme="0" tint="-0.34998626667073579"/>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mediumDashed">
        <color theme="9" tint="-0.499984740745262"/>
      </left>
      <right/>
      <top style="mediumDashed">
        <color theme="9" tint="-0.499984740745262"/>
      </top>
      <bottom style="mediumDashed">
        <color theme="9" tint="-0.499984740745262"/>
      </bottom>
      <diagonal/>
    </border>
    <border>
      <left/>
      <right/>
      <top style="mediumDashed">
        <color theme="9" tint="-0.499984740745262"/>
      </top>
      <bottom style="mediumDashed">
        <color theme="9" tint="-0.499984740745262"/>
      </bottom>
      <diagonal/>
    </border>
    <border>
      <left/>
      <right style="mediumDashed">
        <color theme="9" tint="-0.499984740745262"/>
      </right>
      <top style="mediumDashed">
        <color theme="9" tint="-0.499984740745262"/>
      </top>
      <bottom style="mediumDashed">
        <color theme="9" tint="-0.499984740745262"/>
      </bottom>
      <diagonal/>
    </border>
    <border>
      <left/>
      <right/>
      <top/>
      <bottom style="medium">
        <color theme="4"/>
      </bottom>
      <diagonal/>
    </border>
    <border>
      <left/>
      <right/>
      <top style="medium">
        <color theme="4"/>
      </top>
      <bottom/>
      <diagonal/>
    </border>
    <border>
      <left style="medium">
        <color theme="4"/>
      </left>
      <right/>
      <top/>
      <bottom/>
      <diagonal/>
    </border>
    <border>
      <left style="medium">
        <color theme="4"/>
      </left>
      <right/>
      <top/>
      <bottom style="medium">
        <color theme="4"/>
      </bottom>
      <diagonal/>
    </border>
    <border>
      <left style="medium">
        <color theme="4"/>
      </left>
      <right/>
      <top style="medium">
        <color theme="4"/>
      </top>
      <bottom/>
      <diagonal/>
    </border>
    <border>
      <left/>
      <right style="medium">
        <color theme="4"/>
      </right>
      <top/>
      <bottom style="medium">
        <color theme="4"/>
      </bottom>
      <diagonal/>
    </border>
    <border>
      <left style="medium">
        <color theme="4"/>
      </left>
      <right style="medium">
        <color theme="4"/>
      </right>
      <top/>
      <bottom style="medium">
        <color theme="4"/>
      </bottom>
      <diagonal/>
    </border>
    <border>
      <left/>
      <right style="medium">
        <color theme="4"/>
      </right>
      <top style="medium">
        <color theme="4"/>
      </top>
      <bottom/>
      <diagonal/>
    </border>
    <border>
      <left style="medium">
        <color theme="4"/>
      </left>
      <right style="medium">
        <color theme="4"/>
      </right>
      <top style="medium">
        <color theme="4"/>
      </top>
      <bottom/>
      <diagonal/>
    </border>
    <border>
      <left style="medium">
        <color theme="4"/>
      </left>
      <right/>
      <top style="medium">
        <color theme="4"/>
      </top>
      <bottom style="medium">
        <color theme="4"/>
      </bottom>
      <diagonal/>
    </border>
    <border>
      <left/>
      <right/>
      <top style="thick">
        <color theme="4"/>
      </top>
      <bottom style="thick">
        <color theme="4"/>
      </bottom>
      <diagonal/>
    </border>
    <border>
      <left/>
      <right/>
      <top style="medium">
        <color theme="4"/>
      </top>
      <bottom style="medium">
        <color theme="4"/>
      </bottom>
      <diagonal/>
    </border>
    <border>
      <left/>
      <right style="medium">
        <color rgb="FF0070C0"/>
      </right>
      <top/>
      <bottom/>
      <diagonal/>
    </border>
    <border>
      <left style="medium">
        <color rgb="FF0070C0"/>
      </left>
      <right/>
      <top/>
      <bottom/>
      <diagonal/>
    </border>
    <border>
      <left/>
      <right/>
      <top style="medium">
        <color theme="0" tint="-0.34998626667073579"/>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top/>
      <bottom/>
      <diagonal/>
    </border>
    <border>
      <left/>
      <right style="dotted">
        <color indexed="64"/>
      </right>
      <top/>
      <bottom style="medium">
        <color indexed="64"/>
      </bottom>
      <diagonal/>
    </border>
    <border>
      <left style="dotted">
        <color indexed="64"/>
      </left>
      <right/>
      <top/>
      <bottom style="medium">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style="thin">
        <color theme="4"/>
      </left>
      <right/>
      <top/>
      <bottom/>
      <diagonal/>
    </border>
    <border>
      <left style="thin">
        <color theme="4"/>
      </left>
      <right/>
      <top style="thick">
        <color theme="4"/>
      </top>
      <bottom style="thick">
        <color theme="4"/>
      </bottom>
      <diagonal/>
    </border>
    <border>
      <left/>
      <right style="thin">
        <color theme="4"/>
      </right>
      <top/>
      <bottom/>
      <diagonal/>
    </border>
    <border>
      <left/>
      <right style="thin">
        <color theme="4"/>
      </right>
      <top style="thick">
        <color theme="4"/>
      </top>
      <bottom style="thick">
        <color theme="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s>
  <cellStyleXfs count="3">
    <xf numFmtId="0" fontId="0" fillId="0" borderId="0"/>
    <xf numFmtId="9" fontId="15" fillId="0" borderId="0" applyFont="0" applyFill="0" applyBorder="0" applyAlignment="0" applyProtection="0"/>
    <xf numFmtId="0" fontId="23" fillId="0" borderId="0" applyNumberFormat="0" applyFill="0" applyBorder="0" applyAlignment="0" applyProtection="0"/>
  </cellStyleXfs>
  <cellXfs count="1062">
    <xf numFmtId="0" fontId="0" fillId="0" borderId="0" xfId="0"/>
    <xf numFmtId="0" fontId="1" fillId="0" borderId="0" xfId="0" applyFont="1"/>
    <xf numFmtId="0" fontId="0" fillId="0" borderId="0" xfId="0" applyAlignment="1">
      <alignment vertical="top"/>
    </xf>
    <xf numFmtId="0" fontId="0" fillId="0" borderId="0" xfId="0" applyAlignment="1">
      <alignment horizontal="center" vertical="top"/>
    </xf>
    <xf numFmtId="0" fontId="0" fillId="15" borderId="5" xfId="0" applyFill="1" applyBorder="1" applyAlignment="1">
      <alignment vertical="top"/>
    </xf>
    <xf numFmtId="0" fontId="0" fillId="15" borderId="7" xfId="0" applyFill="1" applyBorder="1" applyAlignment="1">
      <alignment vertical="top"/>
    </xf>
    <xf numFmtId="0" fontId="0" fillId="15" borderId="13" xfId="0" applyFill="1" applyBorder="1" applyAlignment="1">
      <alignment vertical="top"/>
    </xf>
    <xf numFmtId="0" fontId="1" fillId="15" borderId="16" xfId="0" applyFont="1" applyFill="1" applyBorder="1" applyAlignment="1">
      <alignment vertical="top"/>
    </xf>
    <xf numFmtId="0" fontId="1" fillId="15" borderId="17" xfId="0" applyFont="1" applyFill="1" applyBorder="1" applyAlignment="1">
      <alignment vertical="top"/>
    </xf>
    <xf numFmtId="0" fontId="1" fillId="15" borderId="18" xfId="0" applyFont="1" applyFill="1" applyBorder="1" applyAlignment="1">
      <alignment vertical="top"/>
    </xf>
    <xf numFmtId="0" fontId="1" fillId="15" borderId="19" xfId="0" applyFont="1" applyFill="1" applyBorder="1" applyAlignment="1">
      <alignment vertical="top"/>
    </xf>
    <xf numFmtId="0" fontId="0" fillId="0" borderId="23" xfId="0" applyBorder="1" applyAlignment="1">
      <alignment wrapText="1"/>
    </xf>
    <xf numFmtId="0" fontId="0" fillId="0" borderId="21" xfId="0" applyBorder="1" applyAlignment="1">
      <alignment vertical="top" wrapText="1"/>
    </xf>
    <xf numFmtId="0" fontId="0" fillId="0" borderId="22" xfId="0" applyBorder="1" applyAlignment="1">
      <alignment vertical="top" wrapText="1"/>
    </xf>
    <xf numFmtId="0" fontId="0" fillId="13" borderId="15" xfId="0" applyFill="1" applyBorder="1" applyAlignment="1">
      <alignment horizontal="center" vertical="top"/>
    </xf>
    <xf numFmtId="0" fontId="0" fillId="13" borderId="6" xfId="0" applyFill="1" applyBorder="1" applyAlignment="1">
      <alignment horizontal="center" vertical="top"/>
    </xf>
    <xf numFmtId="0" fontId="0" fillId="13" borderId="9" xfId="0" applyFill="1" applyBorder="1" applyAlignment="1">
      <alignment horizontal="center" vertical="top"/>
    </xf>
    <xf numFmtId="0" fontId="4" fillId="13" borderId="14" xfId="0" applyFont="1" applyFill="1" applyBorder="1" applyAlignment="1">
      <alignment vertical="top"/>
    </xf>
    <xf numFmtId="0" fontId="4" fillId="13" borderId="1" xfId="0" applyFont="1" applyFill="1" applyBorder="1" applyAlignment="1">
      <alignment vertical="top"/>
    </xf>
    <xf numFmtId="0" fontId="4" fillId="13" borderId="8" xfId="0" applyFont="1" applyFill="1" applyBorder="1" applyAlignment="1">
      <alignment vertical="top"/>
    </xf>
    <xf numFmtId="0" fontId="4" fillId="13" borderId="8" xfId="0" applyFont="1" applyFill="1" applyBorder="1" applyAlignment="1">
      <alignment vertical="top" wrapText="1"/>
    </xf>
    <xf numFmtId="0" fontId="4" fillId="13" borderId="14" xfId="0" applyFont="1" applyFill="1" applyBorder="1" applyAlignment="1">
      <alignment vertical="top" wrapText="1"/>
    </xf>
    <xf numFmtId="0" fontId="0" fillId="0" borderId="23" xfId="0" applyBorder="1" applyAlignment="1">
      <alignment vertical="top" wrapText="1"/>
    </xf>
    <xf numFmtId="0" fontId="0" fillId="14" borderId="5" xfId="0" applyFill="1" applyBorder="1" applyAlignment="1">
      <alignment vertical="top"/>
    </xf>
    <xf numFmtId="0" fontId="0" fillId="14" borderId="7" xfId="0" applyFill="1" applyBorder="1" applyAlignment="1">
      <alignment vertical="top"/>
    </xf>
    <xf numFmtId="0" fontId="0" fillId="14" borderId="13" xfId="0" applyFill="1" applyBorder="1" applyAlignment="1">
      <alignment vertical="top"/>
    </xf>
    <xf numFmtId="0" fontId="1" fillId="14" borderId="16" xfId="0" applyFont="1" applyFill="1" applyBorder="1" applyAlignment="1">
      <alignment vertical="top"/>
    </xf>
    <xf numFmtId="0" fontId="1" fillId="14" borderId="17" xfId="0" applyFont="1" applyFill="1" applyBorder="1" applyAlignment="1">
      <alignment vertical="top"/>
    </xf>
    <xf numFmtId="0" fontId="1" fillId="14" borderId="18" xfId="0" applyFont="1" applyFill="1" applyBorder="1" applyAlignment="1">
      <alignment vertical="top"/>
    </xf>
    <xf numFmtId="0" fontId="1" fillId="14" borderId="19" xfId="0" applyFont="1" applyFill="1" applyBorder="1" applyAlignment="1">
      <alignment vertical="top"/>
    </xf>
    <xf numFmtId="0" fontId="0" fillId="12" borderId="15" xfId="0" applyFill="1" applyBorder="1" applyAlignment="1">
      <alignment horizontal="center" vertical="top"/>
    </xf>
    <xf numFmtId="0" fontId="0" fillId="12" borderId="6" xfId="0" applyFill="1" applyBorder="1" applyAlignment="1">
      <alignment horizontal="center" vertical="top"/>
    </xf>
    <xf numFmtId="0" fontId="0" fillId="12" borderId="9" xfId="0" applyFill="1" applyBorder="1" applyAlignment="1">
      <alignment horizontal="center" vertical="top"/>
    </xf>
    <xf numFmtId="0" fontId="1" fillId="14" borderId="28" xfId="0" applyFont="1" applyFill="1" applyBorder="1" applyAlignment="1">
      <alignment vertical="top"/>
    </xf>
    <xf numFmtId="0" fontId="0" fillId="0" borderId="31" xfId="0"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0" fontId="4" fillId="12" borderId="14" xfId="0" applyFont="1" applyFill="1" applyBorder="1" applyAlignment="1">
      <alignment vertical="top" wrapText="1"/>
    </xf>
    <xf numFmtId="0" fontId="4" fillId="12" borderId="1" xfId="0" applyFont="1" applyFill="1" applyBorder="1" applyAlignment="1">
      <alignment vertical="top" wrapText="1"/>
    </xf>
    <xf numFmtId="0" fontId="4" fillId="12" borderId="8" xfId="0" applyFont="1" applyFill="1" applyBorder="1" applyAlignment="1">
      <alignment vertical="top" wrapText="1"/>
    </xf>
    <xf numFmtId="0" fontId="1" fillId="15" borderId="28" xfId="0" applyFont="1" applyFill="1" applyBorder="1" applyAlignment="1">
      <alignment vertical="top"/>
    </xf>
    <xf numFmtId="0" fontId="4" fillId="11" borderId="14" xfId="0" applyFont="1" applyFill="1" applyBorder="1" applyAlignment="1">
      <alignment vertical="top" wrapText="1"/>
    </xf>
    <xf numFmtId="0" fontId="0" fillId="11" borderId="15" xfId="0" applyFill="1" applyBorder="1" applyAlignment="1">
      <alignment horizontal="center" vertical="top"/>
    </xf>
    <xf numFmtId="0" fontId="4" fillId="11" borderId="1" xfId="0" applyFont="1" applyFill="1" applyBorder="1" applyAlignment="1">
      <alignment vertical="top" wrapText="1"/>
    </xf>
    <xf numFmtId="0" fontId="0" fillId="11" borderId="6" xfId="0" applyFill="1" applyBorder="1" applyAlignment="1">
      <alignment horizontal="center" vertical="top"/>
    </xf>
    <xf numFmtId="0" fontId="4" fillId="11" borderId="8" xfId="0" applyFont="1" applyFill="1" applyBorder="1" applyAlignment="1">
      <alignment vertical="top" wrapText="1"/>
    </xf>
    <xf numFmtId="0" fontId="0" fillId="11" borderId="9" xfId="0" applyFill="1" applyBorder="1" applyAlignment="1">
      <alignment horizontal="center" vertical="top"/>
    </xf>
    <xf numFmtId="0" fontId="1" fillId="16" borderId="16" xfId="0" applyFont="1" applyFill="1" applyBorder="1" applyAlignment="1">
      <alignment vertical="top"/>
    </xf>
    <xf numFmtId="0" fontId="1" fillId="16" borderId="17" xfId="0" applyFont="1" applyFill="1" applyBorder="1" applyAlignment="1">
      <alignment vertical="top"/>
    </xf>
    <xf numFmtId="0" fontId="1" fillId="16" borderId="18" xfId="0" applyFont="1" applyFill="1" applyBorder="1" applyAlignment="1">
      <alignment vertical="top"/>
    </xf>
    <xf numFmtId="0" fontId="1" fillId="16" borderId="19" xfId="0" applyFont="1" applyFill="1" applyBorder="1" applyAlignment="1">
      <alignment vertical="top"/>
    </xf>
    <xf numFmtId="0" fontId="1" fillId="16" borderId="28" xfId="0" applyFont="1" applyFill="1" applyBorder="1" applyAlignment="1">
      <alignment vertical="top"/>
    </xf>
    <xf numFmtId="0" fontId="0" fillId="16" borderId="13" xfId="0" applyFill="1" applyBorder="1" applyAlignment="1">
      <alignment vertical="top"/>
    </xf>
    <xf numFmtId="0" fontId="0" fillId="16" borderId="5" xfId="0" applyFill="1" applyBorder="1" applyAlignment="1">
      <alignment vertical="top"/>
    </xf>
    <xf numFmtId="0" fontId="0" fillId="16" borderId="7" xfId="0" applyFill="1" applyBorder="1" applyAlignment="1">
      <alignment vertical="top"/>
    </xf>
    <xf numFmtId="0" fontId="1" fillId="17" borderId="16" xfId="0" applyFont="1" applyFill="1" applyBorder="1" applyAlignment="1">
      <alignment vertical="top"/>
    </xf>
    <xf numFmtId="0" fontId="1" fillId="17" borderId="17" xfId="0" applyFont="1" applyFill="1" applyBorder="1" applyAlignment="1">
      <alignment vertical="top"/>
    </xf>
    <xf numFmtId="0" fontId="1" fillId="17" borderId="18" xfId="0" applyFont="1" applyFill="1" applyBorder="1" applyAlignment="1">
      <alignment vertical="top"/>
    </xf>
    <xf numFmtId="0" fontId="1" fillId="17" borderId="19" xfId="0" applyFont="1" applyFill="1" applyBorder="1" applyAlignment="1">
      <alignment vertical="top"/>
    </xf>
    <xf numFmtId="0" fontId="1" fillId="17" borderId="28" xfId="0" applyFont="1" applyFill="1" applyBorder="1" applyAlignment="1">
      <alignment vertical="top"/>
    </xf>
    <xf numFmtId="0" fontId="0" fillId="17" borderId="13" xfId="0" applyFill="1" applyBorder="1" applyAlignment="1">
      <alignment vertical="top"/>
    </xf>
    <xf numFmtId="0" fontId="0" fillId="17" borderId="5" xfId="0" applyFill="1" applyBorder="1" applyAlignment="1">
      <alignment vertical="top"/>
    </xf>
    <xf numFmtId="0" fontId="0" fillId="17" borderId="7" xfId="0" applyFill="1" applyBorder="1" applyAlignment="1">
      <alignment vertical="top"/>
    </xf>
    <xf numFmtId="0" fontId="4" fillId="10" borderId="14" xfId="0" applyFont="1" applyFill="1" applyBorder="1" applyAlignment="1">
      <alignment vertical="top" wrapText="1"/>
    </xf>
    <xf numFmtId="0" fontId="0" fillId="10" borderId="15" xfId="0" applyFill="1" applyBorder="1" applyAlignment="1">
      <alignment horizontal="center" vertical="top"/>
    </xf>
    <xf numFmtId="0" fontId="4" fillId="10" borderId="1" xfId="0" applyFont="1" applyFill="1" applyBorder="1" applyAlignment="1">
      <alignment vertical="top" wrapText="1"/>
    </xf>
    <xf numFmtId="0" fontId="0" fillId="10" borderId="6" xfId="0" applyFill="1" applyBorder="1" applyAlignment="1">
      <alignment horizontal="center" vertical="top"/>
    </xf>
    <xf numFmtId="0" fontId="4" fillId="10" borderId="8" xfId="0" applyFont="1" applyFill="1" applyBorder="1" applyAlignment="1">
      <alignment vertical="top" wrapText="1"/>
    </xf>
    <xf numFmtId="0" fontId="0" fillId="10" borderId="9" xfId="0" applyFill="1" applyBorder="1" applyAlignment="1">
      <alignment horizontal="center" vertical="top"/>
    </xf>
    <xf numFmtId="0" fontId="0" fillId="0" borderId="0" xfId="0" applyAlignment="1">
      <alignment horizontal="center" vertical="center"/>
    </xf>
    <xf numFmtId="0" fontId="1" fillId="0" borderId="0" xfId="0" applyFont="1" applyAlignment="1">
      <alignment horizontal="center"/>
    </xf>
    <xf numFmtId="0" fontId="0" fillId="0" borderId="42" xfId="0" applyBorder="1"/>
    <xf numFmtId="0" fontId="1" fillId="20" borderId="34" xfId="0" applyFont="1" applyFill="1" applyBorder="1" applyAlignment="1">
      <alignment horizontal="center" vertical="center" wrapText="1"/>
    </xf>
    <xf numFmtId="0" fontId="1" fillId="20" borderId="49" xfId="0" applyFont="1" applyFill="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50" xfId="0" applyBorder="1"/>
    <xf numFmtId="0" fontId="0" fillId="0" borderId="43" xfId="0" applyBorder="1"/>
    <xf numFmtId="0" fontId="2" fillId="0" borderId="51" xfId="0" applyFont="1" applyBorder="1" applyAlignment="1">
      <alignment horizontal="center" vertical="center"/>
    </xf>
    <xf numFmtId="0" fontId="2" fillId="0" borderId="53" xfId="0" applyFont="1" applyBorder="1" applyAlignment="1">
      <alignment horizontal="center" vertical="center"/>
    </xf>
    <xf numFmtId="0" fontId="10" fillId="0" borderId="53" xfId="0" applyFont="1" applyBorder="1" applyAlignment="1">
      <alignment horizontal="center" vertical="center"/>
    </xf>
    <xf numFmtId="0" fontId="11" fillId="18" borderId="2" xfId="0" applyFont="1" applyFill="1" applyBorder="1" applyAlignment="1">
      <alignment horizontal="center"/>
    </xf>
    <xf numFmtId="0" fontId="0" fillId="0" borderId="0" xfId="0" applyAlignment="1">
      <alignment wrapText="1"/>
    </xf>
    <xf numFmtId="0" fontId="1" fillId="18" borderId="61" xfId="0" applyFont="1" applyFill="1" applyBorder="1" applyAlignment="1">
      <alignment horizontal="center" vertical="center"/>
    </xf>
    <xf numFmtId="0" fontId="1" fillId="18" borderId="62" xfId="0" applyFont="1" applyFill="1" applyBorder="1" applyAlignment="1">
      <alignment horizontal="center" vertical="center"/>
    </xf>
    <xf numFmtId="0" fontId="1" fillId="18" borderId="2" xfId="0" applyFont="1" applyFill="1" applyBorder="1" applyAlignment="1">
      <alignment horizontal="center" vertical="center"/>
    </xf>
    <xf numFmtId="0" fontId="0" fillId="0" borderId="33" xfId="0" applyBorder="1" applyAlignment="1">
      <alignment horizontal="center" vertical="center"/>
    </xf>
    <xf numFmtId="0" fontId="0" fillId="0" borderId="33" xfId="0" applyBorder="1"/>
    <xf numFmtId="0" fontId="0" fillId="0" borderId="38" xfId="0" applyBorder="1"/>
    <xf numFmtId="0" fontId="0" fillId="23" borderId="45" xfId="0" applyFill="1" applyBorder="1"/>
    <xf numFmtId="0" fontId="0" fillId="23" borderId="59" xfId="0" applyFill="1" applyBorder="1"/>
    <xf numFmtId="0" fontId="0" fillId="0" borderId="32"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11" fillId="18" borderId="34" xfId="0" applyFont="1" applyFill="1" applyBorder="1" applyAlignment="1">
      <alignment horizontal="center"/>
    </xf>
    <xf numFmtId="0" fontId="11" fillId="18" borderId="58" xfId="0" applyFont="1" applyFill="1" applyBorder="1" applyAlignment="1">
      <alignment horizontal="center" vertical="center" wrapText="1"/>
    </xf>
    <xf numFmtId="0" fontId="11" fillId="18" borderId="49"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11" fillId="18" borderId="45" xfId="0" applyFont="1" applyFill="1" applyBorder="1" applyAlignment="1">
      <alignment horizontal="center"/>
    </xf>
    <xf numFmtId="0" fontId="0" fillId="17" borderId="70" xfId="0" applyFill="1" applyBorder="1" applyAlignment="1">
      <alignment horizontal="center" vertical="center"/>
    </xf>
    <xf numFmtId="0" fontId="0" fillId="17" borderId="5" xfId="0" applyFill="1" applyBorder="1" applyAlignment="1">
      <alignment horizontal="center" vertical="center"/>
    </xf>
    <xf numFmtId="0" fontId="0" fillId="17" borderId="7" xfId="0" applyFill="1" applyBorder="1" applyAlignment="1">
      <alignment horizontal="center" vertical="center"/>
    </xf>
    <xf numFmtId="0" fontId="0" fillId="17" borderId="10" xfId="0" applyFill="1" applyBorder="1" applyAlignment="1">
      <alignment horizontal="center" vertical="center"/>
    </xf>
    <xf numFmtId="0" fontId="0" fillId="16" borderId="70" xfId="0" applyFill="1" applyBorder="1" applyAlignment="1">
      <alignment horizontal="center" vertical="center"/>
    </xf>
    <xf numFmtId="0" fontId="0" fillId="16" borderId="5" xfId="0" applyFill="1" applyBorder="1" applyAlignment="1">
      <alignment horizontal="center" vertical="center"/>
    </xf>
    <xf numFmtId="0" fontId="0" fillId="16" borderId="7" xfId="0" applyFill="1" applyBorder="1" applyAlignment="1">
      <alignment horizontal="center" vertical="center"/>
    </xf>
    <xf numFmtId="0" fontId="0" fillId="17" borderId="3" xfId="0" applyFill="1" applyBorder="1" applyAlignment="1">
      <alignment horizontal="left" vertical="center"/>
    </xf>
    <xf numFmtId="0" fontId="0" fillId="17" borderId="1" xfId="0" applyFill="1" applyBorder="1" applyAlignment="1">
      <alignment horizontal="left" vertical="center"/>
    </xf>
    <xf numFmtId="0" fontId="0" fillId="17" borderId="8" xfId="0" applyFill="1" applyBorder="1" applyAlignment="1">
      <alignment horizontal="left" vertical="center"/>
    </xf>
    <xf numFmtId="0" fontId="0" fillId="17" borderId="11" xfId="0" applyFill="1" applyBorder="1" applyAlignment="1">
      <alignment horizontal="left" vertical="center"/>
    </xf>
    <xf numFmtId="0" fontId="0" fillId="16" borderId="3" xfId="0" applyFill="1" applyBorder="1" applyAlignment="1">
      <alignment horizontal="left" vertical="center"/>
    </xf>
    <xf numFmtId="0" fontId="0" fillId="16" borderId="1" xfId="0" applyFill="1" applyBorder="1" applyAlignment="1">
      <alignment horizontal="left" vertical="center"/>
    </xf>
    <xf numFmtId="0" fontId="0" fillId="16" borderId="8" xfId="0" applyFill="1" applyBorder="1" applyAlignment="1">
      <alignment horizontal="left" vertical="center"/>
    </xf>
    <xf numFmtId="0" fontId="0" fillId="16" borderId="10" xfId="0" applyFill="1" applyBorder="1" applyAlignment="1">
      <alignment horizontal="center" vertical="center"/>
    </xf>
    <xf numFmtId="0" fontId="0" fillId="16" borderId="11" xfId="0" applyFill="1" applyBorder="1" applyAlignment="1">
      <alignment horizontal="left" vertical="center"/>
    </xf>
    <xf numFmtId="0" fontId="0" fillId="14" borderId="70" xfId="0" applyFill="1" applyBorder="1" applyAlignment="1">
      <alignment horizontal="center" vertical="center"/>
    </xf>
    <xf numFmtId="0" fontId="0" fillId="14" borderId="3" xfId="0" applyFill="1" applyBorder="1" applyAlignment="1">
      <alignment horizontal="left" vertical="center"/>
    </xf>
    <xf numFmtId="0" fontId="0" fillId="14" borderId="5" xfId="0" applyFill="1" applyBorder="1" applyAlignment="1">
      <alignment horizontal="center" vertical="center"/>
    </xf>
    <xf numFmtId="0" fontId="0" fillId="14" borderId="1" xfId="0" applyFill="1" applyBorder="1" applyAlignment="1">
      <alignment horizontal="left" vertical="center"/>
    </xf>
    <xf numFmtId="0" fontId="0" fillId="14" borderId="7" xfId="0" applyFill="1" applyBorder="1" applyAlignment="1">
      <alignment horizontal="center" vertical="center"/>
    </xf>
    <xf numFmtId="0" fontId="0" fillId="14" borderId="8" xfId="0" applyFill="1" applyBorder="1" applyAlignment="1">
      <alignment horizontal="left" vertical="center"/>
    </xf>
    <xf numFmtId="0" fontId="0" fillId="14" borderId="10" xfId="0" applyFill="1" applyBorder="1" applyAlignment="1">
      <alignment horizontal="center" vertical="center"/>
    </xf>
    <xf numFmtId="0" fontId="0" fillId="14" borderId="11" xfId="0" applyFill="1" applyBorder="1" applyAlignment="1">
      <alignment horizontal="left" vertical="center"/>
    </xf>
    <xf numFmtId="0" fontId="0" fillId="15" borderId="70" xfId="0" applyFill="1" applyBorder="1" applyAlignment="1">
      <alignment horizontal="center" vertical="center"/>
    </xf>
    <xf numFmtId="0" fontId="0" fillId="15" borderId="3" xfId="0" applyFill="1" applyBorder="1" applyAlignment="1">
      <alignment horizontal="left" vertical="center"/>
    </xf>
    <xf numFmtId="0" fontId="0" fillId="15" borderId="5" xfId="0" applyFill="1" applyBorder="1" applyAlignment="1">
      <alignment horizontal="center" vertical="center"/>
    </xf>
    <xf numFmtId="0" fontId="0" fillId="15" borderId="1" xfId="0" applyFill="1" applyBorder="1" applyAlignment="1">
      <alignment horizontal="left" vertical="center"/>
    </xf>
    <xf numFmtId="0" fontId="0" fillId="15" borderId="7" xfId="0" applyFill="1" applyBorder="1" applyAlignment="1">
      <alignment horizontal="center" vertical="center"/>
    </xf>
    <xf numFmtId="0" fontId="0" fillId="15" borderId="8" xfId="0" applyFill="1" applyBorder="1" applyAlignment="1">
      <alignment horizontal="left" vertical="center"/>
    </xf>
    <xf numFmtId="0" fontId="0" fillId="15" borderId="13" xfId="0" applyFill="1" applyBorder="1" applyAlignment="1">
      <alignment horizontal="center" vertical="center"/>
    </xf>
    <xf numFmtId="0" fontId="0" fillId="15" borderId="14" xfId="0" applyFill="1" applyBorder="1" applyAlignment="1">
      <alignment horizontal="left" vertical="center"/>
    </xf>
    <xf numFmtId="0" fontId="11" fillId="18" borderId="34" xfId="0" applyFont="1" applyFill="1" applyBorder="1" applyAlignment="1">
      <alignment horizontal="center"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8" fillId="0" borderId="47" xfId="0" applyFont="1" applyBorder="1" applyAlignment="1">
      <alignment horizontal="center"/>
    </xf>
    <xf numFmtId="0" fontId="0" fillId="6" borderId="43" xfId="0" applyFill="1" applyBorder="1" applyAlignment="1">
      <alignment horizontal="center" vertical="center"/>
    </xf>
    <xf numFmtId="0" fontId="0" fillId="7" borderId="43" xfId="0" applyFill="1" applyBorder="1" applyAlignment="1">
      <alignment horizontal="center" vertical="center"/>
    </xf>
    <xf numFmtId="0" fontId="0" fillId="8" borderId="43" xfId="0" applyFill="1" applyBorder="1" applyAlignment="1">
      <alignment horizontal="center" vertical="center"/>
    </xf>
    <xf numFmtId="0" fontId="0" fillId="9" borderId="43" xfId="0" applyFill="1" applyBorder="1" applyAlignment="1">
      <alignment horizontal="center" vertical="center"/>
    </xf>
    <xf numFmtId="0" fontId="0" fillId="0" borderId="40" xfId="0" applyBorder="1"/>
    <xf numFmtId="0" fontId="0" fillId="0" borderId="0" xfId="0" applyAlignment="1">
      <alignment horizontal="left" vertical="top"/>
    </xf>
    <xf numFmtId="0" fontId="0" fillId="0" borderId="0" xfId="0" applyAlignment="1">
      <alignment horizontal="left" vertical="top" wrapText="1"/>
    </xf>
    <xf numFmtId="0" fontId="23" fillId="0" borderId="0" xfId="2"/>
    <xf numFmtId="0" fontId="0" fillId="27" borderId="0" xfId="0" applyFill="1"/>
    <xf numFmtId="0" fontId="1" fillId="27" borderId="68" xfId="0" applyFont="1" applyFill="1" applyBorder="1" applyAlignment="1">
      <alignment horizontal="center"/>
    </xf>
    <xf numFmtId="0" fontId="0" fillId="27" borderId="73" xfId="0" applyFill="1" applyBorder="1"/>
    <xf numFmtId="0" fontId="0" fillId="27" borderId="74" xfId="0" applyFill="1" applyBorder="1"/>
    <xf numFmtId="0" fontId="0" fillId="27" borderId="78" xfId="0" applyFill="1" applyBorder="1"/>
    <xf numFmtId="0" fontId="1" fillId="27" borderId="78" xfId="0" applyFont="1" applyFill="1" applyBorder="1" applyAlignment="1">
      <alignment horizontal="right"/>
    </xf>
    <xf numFmtId="0" fontId="0" fillId="27" borderId="72" xfId="0" applyFill="1" applyBorder="1"/>
    <xf numFmtId="0" fontId="0" fillId="27" borderId="74" xfId="0" applyFill="1" applyBorder="1" applyAlignment="1">
      <alignment horizontal="right"/>
    </xf>
    <xf numFmtId="0" fontId="0" fillId="27" borderId="75" xfId="0" applyFill="1" applyBorder="1"/>
    <xf numFmtId="0" fontId="0" fillId="27" borderId="76" xfId="0" applyFill="1" applyBorder="1" applyAlignment="1">
      <alignment horizontal="right"/>
    </xf>
    <xf numFmtId="0" fontId="0" fillId="27" borderId="77" xfId="0" applyFill="1" applyBorder="1"/>
    <xf numFmtId="0" fontId="1" fillId="27" borderId="78" xfId="0" applyFont="1" applyFill="1" applyBorder="1" applyAlignment="1">
      <alignment horizontal="right" vertical="center"/>
    </xf>
    <xf numFmtId="0" fontId="0" fillId="27" borderId="79" xfId="0" applyFill="1" applyBorder="1" applyAlignment="1">
      <alignment horizontal="right"/>
    </xf>
    <xf numFmtId="0" fontId="1" fillId="27" borderId="80" xfId="0" applyFont="1" applyFill="1" applyBorder="1" applyAlignment="1">
      <alignment horizontal="center"/>
    </xf>
    <xf numFmtId="0" fontId="1" fillId="27" borderId="81" xfId="0" applyFont="1" applyFill="1" applyBorder="1" applyAlignment="1">
      <alignment horizontal="center"/>
    </xf>
    <xf numFmtId="9" fontId="1" fillId="27" borderId="77" xfId="1" applyFont="1" applyFill="1" applyBorder="1" applyAlignment="1">
      <alignment horizontal="center"/>
    </xf>
    <xf numFmtId="9" fontId="1" fillId="27" borderId="78" xfId="1" applyFont="1" applyFill="1" applyBorder="1" applyAlignment="1">
      <alignment horizontal="center"/>
    </xf>
    <xf numFmtId="9" fontId="1" fillId="27" borderId="79" xfId="1" applyFont="1" applyFill="1" applyBorder="1" applyAlignment="1">
      <alignment horizontal="center"/>
    </xf>
    <xf numFmtId="0" fontId="10" fillId="0" borderId="82" xfId="0" applyFont="1" applyBorder="1" applyAlignment="1">
      <alignment horizontal="center" vertical="center"/>
    </xf>
    <xf numFmtId="0" fontId="0" fillId="0" borderId="63" xfId="0" applyBorder="1"/>
    <xf numFmtId="0" fontId="0" fillId="0" borderId="64" xfId="0" applyBorder="1" applyAlignment="1">
      <alignment horizontal="center" vertical="center"/>
    </xf>
    <xf numFmtId="0" fontId="0" fillId="0" borderId="11" xfId="0" applyBorder="1" applyAlignment="1">
      <alignment horizontal="center" vertical="center"/>
    </xf>
    <xf numFmtId="0" fontId="0" fillId="0" borderId="65" xfId="0" applyBorder="1" applyAlignment="1">
      <alignment horizontal="center" vertical="center"/>
    </xf>
    <xf numFmtId="0" fontId="10" fillId="0" borderId="37" xfId="0" applyFont="1" applyBorder="1" applyAlignment="1">
      <alignment horizontal="center" vertical="center"/>
    </xf>
    <xf numFmtId="0" fontId="0" fillId="0" borderId="39"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59" xfId="0" applyBorder="1" applyAlignment="1">
      <alignment horizontal="center" vertical="center"/>
    </xf>
    <xf numFmtId="0" fontId="0" fillId="0" borderId="27" xfId="0" applyBorder="1" applyAlignment="1">
      <alignment horizontal="center" vertical="center"/>
    </xf>
    <xf numFmtId="0" fontId="0" fillId="0" borderId="41" xfId="0" applyBorder="1" applyAlignment="1">
      <alignment horizontal="center" vertical="center"/>
    </xf>
    <xf numFmtId="0" fontId="10" fillId="0" borderId="85" xfId="0" applyFont="1" applyBorder="1" applyAlignment="1">
      <alignment horizontal="center" vertical="center"/>
    </xf>
    <xf numFmtId="0" fontId="2" fillId="0" borderId="82" xfId="0" applyFont="1" applyBorder="1" applyAlignment="1">
      <alignment horizontal="center" vertical="center"/>
    </xf>
    <xf numFmtId="0" fontId="2" fillId="0" borderId="85"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0" fillId="0" borderId="71" xfId="0" applyBorder="1"/>
    <xf numFmtId="0" fontId="0" fillId="0" borderId="30" xfId="0" applyBorder="1"/>
    <xf numFmtId="0" fontId="8" fillId="0" borderId="33" xfId="0" applyFont="1" applyBorder="1" applyAlignment="1">
      <alignment horizontal="center"/>
    </xf>
    <xf numFmtId="0" fontId="9" fillId="0" borderId="45" xfId="0" applyFont="1" applyBorder="1" applyAlignment="1">
      <alignment horizontal="center" vertical="center"/>
    </xf>
    <xf numFmtId="0" fontId="23" fillId="0" borderId="0" xfId="2" applyAlignment="1">
      <alignment vertical="top" wrapText="1"/>
    </xf>
    <xf numFmtId="0" fontId="1" fillId="6" borderId="50" xfId="0" applyFont="1" applyFill="1" applyBorder="1" applyAlignment="1">
      <alignment vertical="center"/>
    </xf>
    <xf numFmtId="0" fontId="1" fillId="7" borderId="50" xfId="0" applyFont="1" applyFill="1" applyBorder="1" applyAlignment="1">
      <alignment vertical="center"/>
    </xf>
    <xf numFmtId="0" fontId="1" fillId="8" borderId="50" xfId="0" applyFont="1" applyFill="1" applyBorder="1" applyAlignment="1">
      <alignment horizontal="left" vertical="center"/>
    </xf>
    <xf numFmtId="0" fontId="1" fillId="9" borderId="50" xfId="0" applyFont="1" applyFill="1" applyBorder="1" applyAlignment="1">
      <alignment vertical="center"/>
    </xf>
    <xf numFmtId="0" fontId="1" fillId="17" borderId="2" xfId="0" applyFont="1" applyFill="1" applyBorder="1" applyAlignment="1">
      <alignment vertical="top"/>
    </xf>
    <xf numFmtId="0" fontId="0" fillId="0" borderId="27"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1" fillId="16" borderId="2" xfId="0" applyFont="1" applyFill="1" applyBorder="1" applyAlignment="1">
      <alignment vertical="top"/>
    </xf>
    <xf numFmtId="0" fontId="0" fillId="0" borderId="27" xfId="0" applyBorder="1"/>
    <xf numFmtId="0" fontId="0" fillId="0" borderId="25" xfId="0" applyBorder="1"/>
    <xf numFmtId="0" fontId="0" fillId="0" borderId="26" xfId="0" applyBorder="1"/>
    <xf numFmtId="0" fontId="1" fillId="14" borderId="2" xfId="0" applyFont="1" applyFill="1" applyBorder="1" applyAlignment="1">
      <alignment vertical="top"/>
    </xf>
    <xf numFmtId="0" fontId="0" fillId="0" borderId="27"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1" fillId="15" borderId="2" xfId="0" applyFont="1" applyFill="1" applyBorder="1" applyAlignment="1">
      <alignment vertical="top"/>
    </xf>
    <xf numFmtId="0" fontId="30" fillId="0" borderId="45" xfId="0" applyFont="1" applyBorder="1" applyAlignment="1">
      <alignment horizontal="center" vertical="center"/>
    </xf>
    <xf numFmtId="0" fontId="9" fillId="0" borderId="65" xfId="0" applyFont="1" applyBorder="1" applyAlignment="1">
      <alignment horizontal="center" vertical="center"/>
    </xf>
    <xf numFmtId="14" fontId="0" fillId="0" borderId="0" xfId="0" applyNumberFormat="1"/>
    <xf numFmtId="0" fontId="4" fillId="11" borderId="11" xfId="0" applyFont="1" applyFill="1" applyBorder="1" applyAlignment="1">
      <alignment vertical="top" wrapText="1"/>
    </xf>
    <xf numFmtId="0" fontId="0" fillId="0" borderId="83" xfId="0" applyBorder="1" applyAlignment="1">
      <alignment vertical="top" wrapText="1"/>
    </xf>
    <xf numFmtId="0" fontId="0" fillId="0" borderId="87" xfId="0" applyBorder="1" applyAlignment="1">
      <alignment vertical="top" wrapText="1"/>
    </xf>
    <xf numFmtId="0" fontId="0" fillId="0" borderId="65" xfId="0" applyBorder="1"/>
    <xf numFmtId="0" fontId="0" fillId="16" borderId="60" xfId="0" applyFill="1" applyBorder="1" applyAlignment="1">
      <alignment vertical="top"/>
    </xf>
    <xf numFmtId="0" fontId="4" fillId="11" borderId="61" xfId="0" applyFont="1" applyFill="1" applyBorder="1" applyAlignment="1">
      <alignment vertical="top" wrapText="1"/>
    </xf>
    <xf numFmtId="0" fontId="0" fillId="11" borderId="62" xfId="0" applyFill="1" applyBorder="1" applyAlignment="1">
      <alignment horizontal="center" vertical="top"/>
    </xf>
    <xf numFmtId="0" fontId="0" fillId="0" borderId="84" xfId="0" applyBorder="1" applyAlignment="1">
      <alignment vertical="top" wrapText="1"/>
    </xf>
    <xf numFmtId="0" fontId="0" fillId="0" borderId="88" xfId="0" applyBorder="1" applyAlignment="1">
      <alignment vertical="top" wrapText="1"/>
    </xf>
    <xf numFmtId="0" fontId="0" fillId="0" borderId="59" xfId="0" applyBorder="1"/>
    <xf numFmtId="0" fontId="0" fillId="17" borderId="60" xfId="0" applyFill="1" applyBorder="1" applyAlignment="1">
      <alignment vertical="top"/>
    </xf>
    <xf numFmtId="0" fontId="4" fillId="10" borderId="61" xfId="0" applyFont="1" applyFill="1" applyBorder="1" applyAlignment="1">
      <alignment vertical="top" wrapText="1"/>
    </xf>
    <xf numFmtId="0" fontId="0" fillId="10" borderId="62" xfId="0" applyFill="1" applyBorder="1" applyAlignment="1">
      <alignment horizontal="center" vertical="top"/>
    </xf>
    <xf numFmtId="0" fontId="0" fillId="0" borderId="59" xfId="0" applyBorder="1" applyAlignment="1">
      <alignment horizontal="left" vertical="top"/>
    </xf>
    <xf numFmtId="0" fontId="0" fillId="29" borderId="0" xfId="0" applyFill="1"/>
    <xf numFmtId="0" fontId="1" fillId="18" borderId="84" xfId="0" applyFont="1" applyFill="1" applyBorder="1" applyAlignment="1">
      <alignment horizontal="center" vertical="center"/>
    </xf>
    <xf numFmtId="0" fontId="14" fillId="0" borderId="83" xfId="0" applyFont="1" applyBorder="1" applyAlignment="1">
      <alignment horizontal="center" vertical="center"/>
    </xf>
    <xf numFmtId="0" fontId="14" fillId="0" borderId="84" xfId="0" applyFont="1" applyBorder="1" applyAlignment="1">
      <alignment horizontal="center" vertical="center"/>
    </xf>
    <xf numFmtId="0" fontId="1" fillId="20" borderId="45" xfId="0" applyFont="1" applyFill="1" applyBorder="1" applyAlignment="1">
      <alignment horizontal="center" vertical="center" wrapText="1"/>
    </xf>
    <xf numFmtId="0" fontId="0" fillId="10" borderId="0" xfId="0" applyFill="1"/>
    <xf numFmtId="0" fontId="9" fillId="0" borderId="0" xfId="0" applyFont="1" applyAlignment="1">
      <alignment horizontal="left" vertical="top"/>
    </xf>
    <xf numFmtId="0" fontId="0" fillId="11" borderId="0" xfId="0" applyFill="1"/>
    <xf numFmtId="0" fontId="0" fillId="12" borderId="0" xfId="0" applyFill="1"/>
    <xf numFmtId="0" fontId="0" fillId="13" borderId="0" xfId="0" applyFill="1"/>
    <xf numFmtId="0" fontId="36" fillId="0" borderId="0" xfId="0" applyFont="1"/>
    <xf numFmtId="0" fontId="0" fillId="0" borderId="92" xfId="0" applyBorder="1"/>
    <xf numFmtId="0" fontId="0" fillId="0" borderId="93" xfId="0" applyBorder="1"/>
    <xf numFmtId="0" fontId="0" fillId="0" borderId="94" xfId="0" applyBorder="1"/>
    <xf numFmtId="0" fontId="0" fillId="10" borderId="94" xfId="0" applyFill="1" applyBorder="1" applyAlignment="1">
      <alignment horizontal="center" vertical="top"/>
    </xf>
    <xf numFmtId="0" fontId="0" fillId="11" borderId="94" xfId="0" applyFill="1" applyBorder="1" applyAlignment="1">
      <alignment horizontal="center" vertical="top"/>
    </xf>
    <xf numFmtId="0" fontId="0" fillId="12" borderId="94" xfId="0" applyFill="1" applyBorder="1" applyAlignment="1">
      <alignment horizontal="center" vertical="top"/>
    </xf>
    <xf numFmtId="0" fontId="0" fillId="13" borderId="94" xfId="0" applyFill="1" applyBorder="1" applyAlignment="1">
      <alignment horizontal="center" vertical="top"/>
    </xf>
    <xf numFmtId="0" fontId="0" fillId="0" borderId="96" xfId="0" applyBorder="1"/>
    <xf numFmtId="0" fontId="0" fillId="0" borderId="93" xfId="0" applyBorder="1" applyAlignment="1">
      <alignment vertical="center"/>
    </xf>
    <xf numFmtId="0" fontId="0" fillId="0" borderId="0" xfId="0" applyAlignment="1">
      <alignment vertical="top" wrapText="1"/>
    </xf>
    <xf numFmtId="0" fontId="0" fillId="23" borderId="33" xfId="0" applyFill="1" applyBorder="1"/>
    <xf numFmtId="0" fontId="0" fillId="23" borderId="34" xfId="0" applyFill="1" applyBorder="1"/>
    <xf numFmtId="0" fontId="0" fillId="23" borderId="38" xfId="0" applyFill="1" applyBorder="1"/>
    <xf numFmtId="0" fontId="0" fillId="23" borderId="39" xfId="0" applyFill="1" applyBorder="1"/>
    <xf numFmtId="0" fontId="0" fillId="20" borderId="33" xfId="0" applyFill="1" applyBorder="1" applyAlignment="1">
      <alignment vertical="top"/>
    </xf>
    <xf numFmtId="0" fontId="0" fillId="20" borderId="34" xfId="0" applyFill="1" applyBorder="1" applyAlignment="1">
      <alignment vertical="top"/>
    </xf>
    <xf numFmtId="0" fontId="0" fillId="20" borderId="33" xfId="0" applyFill="1" applyBorder="1"/>
    <xf numFmtId="0" fontId="0" fillId="20" borderId="34" xfId="0" applyFill="1" applyBorder="1"/>
    <xf numFmtId="0" fontId="37" fillId="0" borderId="0" xfId="0" applyFont="1"/>
    <xf numFmtId="0" fontId="0" fillId="19" borderId="102" xfId="0" applyFill="1" applyBorder="1"/>
    <xf numFmtId="0" fontId="4" fillId="22" borderId="27" xfId="0" applyFont="1" applyFill="1" applyBorder="1" applyAlignment="1">
      <alignment horizontal="left" vertical="center"/>
    </xf>
    <xf numFmtId="0" fontId="4" fillId="22" borderId="65" xfId="0" applyFont="1" applyFill="1" applyBorder="1" applyAlignment="1">
      <alignment horizontal="left" vertical="center"/>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29" xfId="0" applyBorder="1" applyAlignment="1">
      <alignment horizontal="left" vertical="top" wrapText="1"/>
    </xf>
    <xf numFmtId="0" fontId="41" fillId="0" borderId="0" xfId="0" applyFont="1" applyAlignment="1">
      <alignment horizontal="center" vertical="center"/>
    </xf>
    <xf numFmtId="0" fontId="4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center" indent="1"/>
    </xf>
    <xf numFmtId="0" fontId="0" fillId="0" borderId="0" xfId="0" applyAlignment="1">
      <alignment horizontal="left" vertical="center" wrapText="1"/>
    </xf>
    <xf numFmtId="0" fontId="41" fillId="0" borderId="0" xfId="0" applyFont="1" applyAlignment="1">
      <alignment horizontal="left" vertical="center" wrapText="1"/>
    </xf>
    <xf numFmtId="0" fontId="4" fillId="0" borderId="0" xfId="0" applyFont="1" applyAlignment="1">
      <alignment horizontal="left"/>
    </xf>
    <xf numFmtId="0" fontId="4" fillId="0" borderId="0" xfId="0" applyFont="1" applyAlignment="1">
      <alignment horizontal="center"/>
    </xf>
    <xf numFmtId="0" fontId="42" fillId="0" borderId="0" xfId="0" applyFont="1" applyAlignment="1">
      <alignment vertical="center"/>
    </xf>
    <xf numFmtId="0" fontId="43" fillId="19" borderId="2" xfId="0" applyFont="1" applyFill="1" applyBorder="1" applyAlignment="1">
      <alignment horizontal="center"/>
    </xf>
    <xf numFmtId="0" fontId="43" fillId="20" borderId="2" xfId="0" applyFont="1" applyFill="1" applyBorder="1" applyAlignment="1">
      <alignment horizontal="center" vertical="center" wrapText="1"/>
    </xf>
    <xf numFmtId="0" fontId="1" fillId="19" borderId="45" xfId="0" applyFont="1" applyFill="1" applyBorder="1" applyAlignment="1">
      <alignment horizontal="center" vertical="center"/>
    </xf>
    <xf numFmtId="0" fontId="1" fillId="19" borderId="49" xfId="0" applyFont="1" applyFill="1" applyBorder="1" applyAlignment="1">
      <alignment horizontal="center" vertical="center"/>
    </xf>
    <xf numFmtId="0" fontId="1" fillId="19" borderId="57" xfId="0" applyFont="1" applyFill="1" applyBorder="1" applyAlignment="1">
      <alignment horizontal="center" vertical="center"/>
    </xf>
    <xf numFmtId="0" fontId="1" fillId="19" borderId="58" xfId="0" applyFont="1" applyFill="1" applyBorder="1" applyAlignment="1">
      <alignment horizontal="center" vertical="center"/>
    </xf>
    <xf numFmtId="0" fontId="1" fillId="19" borderId="2" xfId="0" applyFont="1" applyFill="1" applyBorder="1" applyAlignment="1">
      <alignment horizontal="center" vertical="center"/>
    </xf>
    <xf numFmtId="0" fontId="0" fillId="0" borderId="36" xfId="0" applyBorder="1" applyAlignment="1">
      <alignment horizontal="center" vertical="center"/>
    </xf>
    <xf numFmtId="0" fontId="1" fillId="20" borderId="2" xfId="0" applyFont="1" applyFill="1" applyBorder="1" applyAlignment="1">
      <alignment horizontal="center" vertical="center"/>
    </xf>
    <xf numFmtId="0" fontId="1" fillId="0" borderId="95" xfId="0" applyFont="1" applyBorder="1" applyAlignment="1">
      <alignment horizontal="center" vertical="top"/>
    </xf>
    <xf numFmtId="0" fontId="44" fillId="0" borderId="103" xfId="0" applyFont="1" applyBorder="1" applyAlignment="1">
      <alignment vertical="center"/>
    </xf>
    <xf numFmtId="0" fontId="0" fillId="10" borderId="104" xfId="0" applyFill="1" applyBorder="1"/>
    <xf numFmtId="0" fontId="0" fillId="0" borderId="104" xfId="0" applyBorder="1"/>
    <xf numFmtId="0" fontId="0" fillId="11" borderId="104" xfId="0" applyFill="1" applyBorder="1"/>
    <xf numFmtId="0" fontId="0" fillId="12" borderId="104" xfId="0" applyFill="1" applyBorder="1"/>
    <xf numFmtId="0" fontId="0" fillId="13" borderId="104" xfId="0" applyFill="1" applyBorder="1"/>
    <xf numFmtId="0" fontId="0" fillId="10" borderId="105" xfId="0" applyFill="1" applyBorder="1" applyAlignment="1">
      <alignment horizontal="center" vertical="center"/>
    </xf>
    <xf numFmtId="0" fontId="0" fillId="0" borderId="105" xfId="0" applyBorder="1" applyAlignment="1">
      <alignment horizontal="center" vertical="center"/>
    </xf>
    <xf numFmtId="0" fontId="0" fillId="11" borderId="105" xfId="0" applyFill="1" applyBorder="1" applyAlignment="1">
      <alignment horizontal="center" vertical="center"/>
    </xf>
    <xf numFmtId="0" fontId="0" fillId="12" borderId="105" xfId="0" applyFill="1" applyBorder="1" applyAlignment="1">
      <alignment horizontal="center" vertical="center"/>
    </xf>
    <xf numFmtId="0" fontId="0" fillId="13" borderId="105" xfId="0" applyFill="1" applyBorder="1" applyAlignment="1">
      <alignment horizontal="center" vertical="center"/>
    </xf>
    <xf numFmtId="0" fontId="34" fillId="0" borderId="96" xfId="0" applyFont="1" applyBorder="1" applyAlignment="1">
      <alignment horizontal="center" vertical="center"/>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 fillId="0" borderId="106" xfId="0" applyFont="1" applyBorder="1"/>
    <xf numFmtId="0" fontId="0" fillId="0" borderId="35" xfId="0" applyBorder="1" applyAlignment="1">
      <alignment horizontal="left" vertical="center"/>
    </xf>
    <xf numFmtId="0" fontId="0" fillId="0" borderId="37" xfId="0" applyBorder="1" applyAlignment="1">
      <alignment horizontal="left" vertical="center"/>
    </xf>
    <xf numFmtId="0" fontId="0" fillId="17" borderId="47" xfId="0" applyFill="1" applyBorder="1" applyAlignment="1">
      <alignment horizontal="left" vertical="center"/>
    </xf>
    <xf numFmtId="0" fontId="0" fillId="17" borderId="42" xfId="0" applyFill="1" applyBorder="1"/>
    <xf numFmtId="0" fontId="0" fillId="17" borderId="46" xfId="0" applyFill="1" applyBorder="1"/>
    <xf numFmtId="0" fontId="0" fillId="10" borderId="32" xfId="0" applyFill="1" applyBorder="1" applyAlignment="1">
      <alignment horizontal="left" vertical="center"/>
    </xf>
    <xf numFmtId="0" fontId="0" fillId="10" borderId="33" xfId="0" applyFill="1" applyBorder="1"/>
    <xf numFmtId="0" fontId="0" fillId="10" borderId="34" xfId="0" applyFill="1" applyBorder="1"/>
    <xf numFmtId="0" fontId="0" fillId="10" borderId="33" xfId="0" applyFill="1" applyBorder="1" applyAlignment="1">
      <alignment horizontal="center" vertical="center"/>
    </xf>
    <xf numFmtId="0" fontId="0" fillId="10" borderId="34" xfId="0" applyFill="1" applyBorder="1" applyAlignment="1">
      <alignment horizontal="center" vertical="center"/>
    </xf>
    <xf numFmtId="0" fontId="0" fillId="27" borderId="35" xfId="0" applyFill="1" applyBorder="1" applyAlignment="1">
      <alignment horizontal="left" vertical="center"/>
    </xf>
    <xf numFmtId="0" fontId="0" fillId="27" borderId="37" xfId="0" applyFill="1" applyBorder="1" applyAlignment="1">
      <alignment horizontal="left" vertical="center"/>
    </xf>
    <xf numFmtId="0" fontId="0" fillId="16" borderId="47" xfId="0" applyFill="1" applyBorder="1" applyAlignment="1">
      <alignment horizontal="left" vertical="center"/>
    </xf>
    <xf numFmtId="0" fontId="0" fillId="16" borderId="42" xfId="0" applyFill="1" applyBorder="1"/>
    <xf numFmtId="0" fontId="0" fillId="16" borderId="46" xfId="0" applyFill="1" applyBorder="1"/>
    <xf numFmtId="0" fontId="0" fillId="11" borderId="32" xfId="0" applyFill="1" applyBorder="1" applyAlignment="1">
      <alignment horizontal="left" vertical="center"/>
    </xf>
    <xf numFmtId="0" fontId="0" fillId="11" borderId="33" xfId="0" applyFill="1" applyBorder="1"/>
    <xf numFmtId="0" fontId="0" fillId="11" borderId="34" xfId="0" applyFill="1" applyBorder="1"/>
    <xf numFmtId="0" fontId="0" fillId="11" borderId="33" xfId="0" applyFill="1" applyBorder="1" applyAlignment="1">
      <alignment horizontal="center" vertical="center"/>
    </xf>
    <xf numFmtId="0" fontId="0" fillId="11" borderId="34" xfId="0" applyFill="1" applyBorder="1" applyAlignment="1">
      <alignment horizontal="center" vertical="center"/>
    </xf>
    <xf numFmtId="0" fontId="0" fillId="14" borderId="47" xfId="0" applyFill="1" applyBorder="1" applyAlignment="1">
      <alignment horizontal="left" vertical="center"/>
    </xf>
    <xf numFmtId="0" fontId="0" fillId="14" borderId="42" xfId="0" applyFill="1" applyBorder="1"/>
    <xf numFmtId="0" fontId="0" fillId="14" borderId="46" xfId="0" applyFill="1" applyBorder="1"/>
    <xf numFmtId="0" fontId="0" fillId="12" borderId="32" xfId="0" applyFill="1" applyBorder="1" applyAlignment="1">
      <alignment horizontal="left" vertical="center"/>
    </xf>
    <xf numFmtId="0" fontId="0" fillId="12" borderId="33" xfId="0" applyFill="1" applyBorder="1"/>
    <xf numFmtId="0" fontId="0" fillId="12" borderId="34" xfId="0" applyFill="1" applyBorder="1"/>
    <xf numFmtId="0" fontId="0" fillId="12" borderId="33" xfId="0" applyFill="1" applyBorder="1" applyAlignment="1">
      <alignment horizontal="center" vertical="center"/>
    </xf>
    <xf numFmtId="0" fontId="0" fillId="12" borderId="34" xfId="0" applyFill="1" applyBorder="1" applyAlignment="1">
      <alignment horizontal="center" vertical="center"/>
    </xf>
    <xf numFmtId="0" fontId="0" fillId="15" borderId="47" xfId="0" applyFill="1" applyBorder="1" applyAlignment="1">
      <alignment horizontal="left" vertical="center"/>
    </xf>
    <xf numFmtId="0" fontId="0" fillId="15" borderId="42" xfId="0" applyFill="1" applyBorder="1"/>
    <xf numFmtId="0" fontId="0" fillId="15" borderId="46" xfId="0" applyFill="1" applyBorder="1"/>
    <xf numFmtId="0" fontId="0" fillId="13" borderId="32" xfId="0" applyFill="1" applyBorder="1" applyAlignment="1">
      <alignment horizontal="left" vertical="center"/>
    </xf>
    <xf numFmtId="0" fontId="0" fillId="13" borderId="33" xfId="0" applyFill="1" applyBorder="1"/>
    <xf numFmtId="0" fontId="0" fillId="13" borderId="34" xfId="0" applyFill="1" applyBorder="1"/>
    <xf numFmtId="0" fontId="0" fillId="13" borderId="33" xfId="0" applyFill="1" applyBorder="1" applyAlignment="1">
      <alignment horizontal="center" vertical="center"/>
    </xf>
    <xf numFmtId="0" fontId="0" fillId="13" borderId="34" xfId="0" applyFill="1" applyBorder="1" applyAlignment="1">
      <alignment horizontal="center" vertical="center"/>
    </xf>
    <xf numFmtId="0" fontId="37" fillId="0" borderId="36" xfId="0" applyFont="1" applyBorder="1" applyAlignment="1">
      <alignment horizontal="center" vertical="center"/>
    </xf>
    <xf numFmtId="0" fontId="0" fillId="0" borderId="111" xfId="0" applyBorder="1" applyAlignment="1">
      <alignment horizontal="center" vertical="center"/>
    </xf>
    <xf numFmtId="0" fontId="0" fillId="0" borderId="112" xfId="0" applyBorder="1" applyAlignment="1">
      <alignment horizontal="center" vertical="center"/>
    </xf>
    <xf numFmtId="0" fontId="0" fillId="10" borderId="111" xfId="0" applyFill="1" applyBorder="1" applyAlignment="1">
      <alignment horizontal="center" vertical="center"/>
    </xf>
    <xf numFmtId="0" fontId="0" fillId="10" borderId="112" xfId="0" applyFill="1" applyBorder="1" applyAlignment="1">
      <alignment horizontal="center" vertical="center"/>
    </xf>
    <xf numFmtId="0" fontId="0" fillId="17" borderId="111" xfId="0" applyFill="1" applyBorder="1" applyAlignment="1">
      <alignment horizontal="center" vertical="center"/>
    </xf>
    <xf numFmtId="0" fontId="0" fillId="17" borderId="112" xfId="0" applyFill="1" applyBorder="1" applyAlignment="1">
      <alignment horizontal="center" vertical="center"/>
    </xf>
    <xf numFmtId="0" fontId="0" fillId="11" borderId="111" xfId="0" applyFill="1" applyBorder="1" applyAlignment="1">
      <alignment horizontal="center" vertical="center"/>
    </xf>
    <xf numFmtId="0" fontId="0" fillId="11" borderId="112" xfId="0" applyFill="1" applyBorder="1" applyAlignment="1">
      <alignment horizontal="center" vertical="center"/>
    </xf>
    <xf numFmtId="0" fontId="0" fillId="16" borderId="111" xfId="0" applyFill="1" applyBorder="1" applyAlignment="1">
      <alignment horizontal="center" vertical="center"/>
    </xf>
    <xf numFmtId="0" fontId="0" fillId="16" borderId="112" xfId="0" applyFill="1" applyBorder="1" applyAlignment="1">
      <alignment horizontal="center" vertical="center"/>
    </xf>
    <xf numFmtId="0" fontId="0" fillId="12" borderId="111" xfId="0" applyFill="1" applyBorder="1" applyAlignment="1">
      <alignment horizontal="center" vertical="center"/>
    </xf>
    <xf numFmtId="0" fontId="0" fillId="12" borderId="112" xfId="0" applyFill="1" applyBorder="1" applyAlignment="1">
      <alignment horizontal="center" vertical="center"/>
    </xf>
    <xf numFmtId="0" fontId="0" fillId="14" borderId="111" xfId="0" applyFill="1" applyBorder="1" applyAlignment="1">
      <alignment horizontal="center" vertical="center"/>
    </xf>
    <xf numFmtId="0" fontId="0" fillId="14" borderId="112" xfId="0" applyFill="1" applyBorder="1" applyAlignment="1">
      <alignment horizontal="center" vertical="center"/>
    </xf>
    <xf numFmtId="0" fontId="0" fillId="13" borderId="111" xfId="0" applyFill="1" applyBorder="1" applyAlignment="1">
      <alignment horizontal="center" vertical="center"/>
    </xf>
    <xf numFmtId="0" fontId="0" fillId="13" borderId="112" xfId="0" applyFill="1" applyBorder="1" applyAlignment="1">
      <alignment horizontal="center" vertical="center"/>
    </xf>
    <xf numFmtId="0" fontId="0" fillId="13" borderId="113" xfId="0" applyFill="1" applyBorder="1" applyAlignment="1">
      <alignment horizontal="center" vertical="center"/>
    </xf>
    <xf numFmtId="0" fontId="0" fillId="13" borderId="114" xfId="0" applyFill="1" applyBorder="1" applyAlignment="1">
      <alignment horizontal="center" vertical="center"/>
    </xf>
    <xf numFmtId="0" fontId="0" fillId="15" borderId="111" xfId="0" applyFill="1" applyBorder="1" applyAlignment="1">
      <alignment horizontal="center" vertical="center"/>
    </xf>
    <xf numFmtId="0" fontId="0" fillId="15" borderId="112" xfId="0" applyFill="1" applyBorder="1" applyAlignment="1">
      <alignment horizontal="center" vertical="center"/>
    </xf>
    <xf numFmtId="0" fontId="1" fillId="19" borderId="48" xfId="0" applyFont="1" applyFill="1" applyBorder="1" applyAlignment="1">
      <alignment horizontal="center" vertical="center"/>
    </xf>
    <xf numFmtId="0" fontId="53" fillId="19" borderId="60" xfId="0" applyFont="1" applyFill="1" applyBorder="1" applyAlignment="1">
      <alignment horizontal="center" vertical="center"/>
    </xf>
    <xf numFmtId="0" fontId="53" fillId="19" borderId="61" xfId="0" applyFont="1" applyFill="1" applyBorder="1" applyAlignment="1">
      <alignment horizontal="center" vertical="center"/>
    </xf>
    <xf numFmtId="0" fontId="53" fillId="19" borderId="62" xfId="0" applyFont="1" applyFill="1" applyBorder="1" applyAlignment="1">
      <alignment horizontal="center" vertical="center"/>
    </xf>
    <xf numFmtId="0" fontId="0" fillId="10" borderId="35" xfId="0" applyFill="1" applyBorder="1" applyAlignment="1">
      <alignment horizontal="center" vertical="center"/>
    </xf>
    <xf numFmtId="0" fontId="45" fillId="10" borderId="36" xfId="0" applyFont="1" applyFill="1" applyBorder="1" applyAlignment="1">
      <alignment horizontal="center" vertical="center"/>
    </xf>
    <xf numFmtId="0" fontId="0" fillId="17" borderId="35" xfId="0" applyFill="1" applyBorder="1" applyAlignment="1">
      <alignment horizontal="center" vertical="center"/>
    </xf>
    <xf numFmtId="0" fontId="46" fillId="17" borderId="36" xfId="0" applyFont="1" applyFill="1" applyBorder="1" applyAlignment="1">
      <alignment horizontal="center" vertical="center"/>
    </xf>
    <xf numFmtId="0" fontId="0" fillId="11" borderId="35" xfId="0" applyFill="1" applyBorder="1" applyAlignment="1">
      <alignment horizontal="center" vertical="center"/>
    </xf>
    <xf numFmtId="0" fontId="47" fillId="11" borderId="36" xfId="0" applyFont="1" applyFill="1" applyBorder="1" applyAlignment="1">
      <alignment horizontal="center" vertical="center"/>
    </xf>
    <xf numFmtId="0" fontId="0" fillId="16" borderId="35" xfId="0" applyFill="1" applyBorder="1" applyAlignment="1">
      <alignment horizontal="center" vertical="center"/>
    </xf>
    <xf numFmtId="0" fontId="48" fillId="16" borderId="36" xfId="0" applyFont="1" applyFill="1" applyBorder="1" applyAlignment="1">
      <alignment horizontal="center" vertical="center"/>
    </xf>
    <xf numFmtId="0" fontId="0" fillId="12" borderId="35" xfId="0" applyFill="1" applyBorder="1" applyAlignment="1">
      <alignment horizontal="center" vertical="center"/>
    </xf>
    <xf numFmtId="0" fontId="49" fillId="12" borderId="36" xfId="0" applyFont="1" applyFill="1" applyBorder="1" applyAlignment="1">
      <alignment horizontal="center" vertical="center"/>
    </xf>
    <xf numFmtId="0" fontId="0" fillId="14" borderId="35" xfId="0" applyFill="1" applyBorder="1" applyAlignment="1">
      <alignment horizontal="center" vertical="center"/>
    </xf>
    <xf numFmtId="0" fontId="50" fillId="14" borderId="36" xfId="0" applyFont="1" applyFill="1" applyBorder="1" applyAlignment="1">
      <alignment horizontal="center" vertical="center"/>
    </xf>
    <xf numFmtId="0" fontId="0" fillId="13" borderId="35" xfId="0" applyFill="1" applyBorder="1" applyAlignment="1">
      <alignment horizontal="center" vertical="center"/>
    </xf>
    <xf numFmtId="0" fontId="51" fillId="13" borderId="36" xfId="0" applyFont="1" applyFill="1" applyBorder="1" applyAlignment="1">
      <alignment horizontal="center" vertical="center"/>
    </xf>
    <xf numFmtId="0" fontId="0" fillId="15" borderId="35" xfId="0" applyFill="1" applyBorder="1" applyAlignment="1">
      <alignment horizontal="center" vertical="center"/>
    </xf>
    <xf numFmtId="0" fontId="52" fillId="15" borderId="36" xfId="0" applyFont="1" applyFill="1" applyBorder="1" applyAlignment="1">
      <alignment horizontal="center" vertical="center"/>
    </xf>
    <xf numFmtId="0" fontId="0" fillId="13" borderId="37" xfId="0" applyFill="1" applyBorder="1" applyAlignment="1">
      <alignment horizontal="center" vertical="center"/>
    </xf>
    <xf numFmtId="0" fontId="51" fillId="13" borderId="39" xfId="0" applyFont="1" applyFill="1" applyBorder="1" applyAlignment="1">
      <alignment horizontal="center" vertical="center"/>
    </xf>
    <xf numFmtId="0" fontId="46" fillId="17" borderId="117" xfId="0" applyFont="1" applyFill="1" applyBorder="1" applyAlignment="1">
      <alignment horizontal="center" vertical="center"/>
    </xf>
    <xf numFmtId="0" fontId="0" fillId="17" borderId="118" xfId="0" applyFill="1" applyBorder="1" applyAlignment="1">
      <alignment horizontal="center" vertical="center"/>
    </xf>
    <xf numFmtId="0" fontId="45" fillId="10" borderId="117" xfId="0" applyFont="1" applyFill="1" applyBorder="1" applyAlignment="1">
      <alignment horizontal="center" vertical="center"/>
    </xf>
    <xf numFmtId="0" fontId="0" fillId="10" borderId="118" xfId="0" applyFill="1" applyBorder="1" applyAlignment="1">
      <alignment horizontal="center" vertical="center"/>
    </xf>
    <xf numFmtId="0" fontId="37" fillId="0" borderId="117" xfId="0" applyFont="1" applyBorder="1" applyAlignment="1">
      <alignment horizontal="center" vertical="center"/>
    </xf>
    <xf numFmtId="0" fontId="0" fillId="0" borderId="118" xfId="0" applyBorder="1" applyAlignment="1">
      <alignment horizontal="center" vertical="center"/>
    </xf>
    <xf numFmtId="0" fontId="47" fillId="11" borderId="117" xfId="0" applyFont="1" applyFill="1" applyBorder="1" applyAlignment="1">
      <alignment horizontal="center" vertical="center"/>
    </xf>
    <xf numFmtId="0" fontId="0" fillId="11" borderId="118" xfId="0" applyFill="1" applyBorder="1" applyAlignment="1">
      <alignment horizontal="center" vertical="center"/>
    </xf>
    <xf numFmtId="0" fontId="48" fillId="16" borderId="117" xfId="0" applyFont="1" applyFill="1" applyBorder="1" applyAlignment="1">
      <alignment horizontal="center" vertical="center"/>
    </xf>
    <xf numFmtId="0" fontId="0" fillId="16" borderId="118" xfId="0" applyFill="1" applyBorder="1" applyAlignment="1">
      <alignment horizontal="center" vertical="center"/>
    </xf>
    <xf numFmtId="0" fontId="49" fillId="12" borderId="117" xfId="0" applyFont="1" applyFill="1" applyBorder="1" applyAlignment="1">
      <alignment horizontal="center" vertical="center"/>
    </xf>
    <xf numFmtId="0" fontId="0" fillId="12" borderId="118" xfId="0" applyFill="1" applyBorder="1" applyAlignment="1">
      <alignment horizontal="center" vertical="center"/>
    </xf>
    <xf numFmtId="0" fontId="50" fillId="14" borderId="117" xfId="0" applyFont="1" applyFill="1" applyBorder="1" applyAlignment="1">
      <alignment horizontal="center" vertical="center"/>
    </xf>
    <xf numFmtId="0" fontId="0" fillId="14" borderId="118" xfId="0" applyFill="1" applyBorder="1" applyAlignment="1">
      <alignment horizontal="center" vertical="center"/>
    </xf>
    <xf numFmtId="0" fontId="51" fillId="13" borderId="117" xfId="0" applyFont="1" applyFill="1" applyBorder="1" applyAlignment="1">
      <alignment horizontal="center" vertical="center"/>
    </xf>
    <xf numFmtId="0" fontId="0" fillId="13" borderId="118" xfId="0" applyFill="1" applyBorder="1" applyAlignment="1">
      <alignment horizontal="center" vertical="center"/>
    </xf>
    <xf numFmtId="0" fontId="52" fillId="15" borderId="117" xfId="0" applyFont="1" applyFill="1" applyBorder="1" applyAlignment="1">
      <alignment horizontal="center" vertical="center"/>
    </xf>
    <xf numFmtId="0" fontId="0" fillId="15" borderId="118" xfId="0" applyFill="1" applyBorder="1" applyAlignment="1">
      <alignment horizontal="center" vertical="center"/>
    </xf>
    <xf numFmtId="0" fontId="51" fillId="13" borderId="119" xfId="0" applyFont="1" applyFill="1" applyBorder="1" applyAlignment="1">
      <alignment horizontal="center" vertical="center"/>
    </xf>
    <xf numFmtId="0" fontId="0" fillId="13" borderId="120" xfId="0" applyFill="1" applyBorder="1" applyAlignment="1">
      <alignment horizontal="center" vertical="center"/>
    </xf>
    <xf numFmtId="0" fontId="0" fillId="2" borderId="36" xfId="0" applyFill="1" applyBorder="1"/>
    <xf numFmtId="0" fontId="0" fillId="10" borderId="35" xfId="0" applyFill="1" applyBorder="1"/>
    <xf numFmtId="0" fontId="0" fillId="10" borderId="36" xfId="0" applyFill="1" applyBorder="1"/>
    <xf numFmtId="0" fontId="0" fillId="17" borderId="35" xfId="0" applyFill="1" applyBorder="1"/>
    <xf numFmtId="0" fontId="0" fillId="17" borderId="36" xfId="0" applyFill="1" applyBorder="1"/>
    <xf numFmtId="0" fontId="0" fillId="0" borderId="35" xfId="0" applyBorder="1"/>
    <xf numFmtId="0" fontId="0" fillId="0" borderId="36" xfId="0" applyBorder="1"/>
    <xf numFmtId="0" fontId="0" fillId="3" borderId="36" xfId="0" applyFill="1" applyBorder="1"/>
    <xf numFmtId="0" fontId="0" fillId="11" borderId="35" xfId="0" applyFill="1" applyBorder="1"/>
    <xf numFmtId="0" fontId="0" fillId="11" borderId="36" xfId="0" applyFill="1" applyBorder="1"/>
    <xf numFmtId="0" fontId="0" fillId="16" borderId="35" xfId="0" applyFill="1" applyBorder="1"/>
    <xf numFmtId="0" fontId="0" fillId="16" borderId="36" xfId="0" applyFill="1" applyBorder="1"/>
    <xf numFmtId="0" fontId="0" fillId="4" borderId="36" xfId="0" applyFill="1" applyBorder="1"/>
    <xf numFmtId="0" fontId="0" fillId="12" borderId="35" xfId="0" applyFill="1" applyBorder="1"/>
    <xf numFmtId="0" fontId="0" fillId="12" borderId="36" xfId="0" applyFill="1" applyBorder="1"/>
    <xf numFmtId="0" fontId="0" fillId="14" borderId="35" xfId="0" applyFill="1" applyBorder="1"/>
    <xf numFmtId="0" fontId="0" fillId="14" borderId="36" xfId="0" applyFill="1" applyBorder="1"/>
    <xf numFmtId="0" fontId="0" fillId="5" borderId="36" xfId="0" applyFill="1" applyBorder="1"/>
    <xf numFmtId="0" fontId="0" fillId="13" borderId="35" xfId="0" applyFill="1" applyBorder="1"/>
    <xf numFmtId="0" fontId="0" fillId="13" borderId="36" xfId="0" applyFill="1" applyBorder="1"/>
    <xf numFmtId="0" fontId="0" fillId="15" borderId="35" xfId="0" applyFill="1" applyBorder="1"/>
    <xf numFmtId="0" fontId="0" fillId="15" borderId="36" xfId="0" applyFill="1" applyBorder="1"/>
    <xf numFmtId="0" fontId="0" fillId="13" borderId="37" xfId="0" applyFill="1" applyBorder="1"/>
    <xf numFmtId="0" fontId="0" fillId="13" borderId="38" xfId="0" applyFill="1" applyBorder="1"/>
    <xf numFmtId="0" fontId="0" fillId="13" borderId="39" xfId="0" applyFill="1" applyBorder="1"/>
    <xf numFmtId="0" fontId="0" fillId="17" borderId="85" xfId="0" applyFill="1" applyBorder="1"/>
    <xf numFmtId="0" fontId="0" fillId="17" borderId="40" xfId="0" applyFill="1" applyBorder="1"/>
    <xf numFmtId="0" fontId="0" fillId="17" borderId="41" xfId="0" applyFill="1" applyBorder="1"/>
    <xf numFmtId="0" fontId="0" fillId="17" borderId="85" xfId="0" applyFill="1" applyBorder="1" applyAlignment="1">
      <alignment horizontal="center" vertical="center"/>
    </xf>
    <xf numFmtId="0" fontId="46" fillId="17" borderId="121" xfId="0" applyFont="1" applyFill="1" applyBorder="1" applyAlignment="1">
      <alignment horizontal="center" vertical="center"/>
    </xf>
    <xf numFmtId="0" fontId="0" fillId="17" borderId="122" xfId="0" applyFill="1" applyBorder="1" applyAlignment="1">
      <alignment horizontal="center" vertical="center"/>
    </xf>
    <xf numFmtId="0" fontId="46" fillId="17" borderId="41" xfId="0" applyFont="1" applyFill="1" applyBorder="1" applyAlignment="1">
      <alignment horizontal="center" vertical="center"/>
    </xf>
    <xf numFmtId="0" fontId="0" fillId="17" borderId="123" xfId="0" applyFill="1" applyBorder="1" applyAlignment="1">
      <alignment horizontal="center" vertical="center"/>
    </xf>
    <xf numFmtId="0" fontId="0" fillId="17" borderId="124" xfId="0" applyFill="1" applyBorder="1" applyAlignment="1">
      <alignment horizontal="center" vertical="center"/>
    </xf>
    <xf numFmtId="0" fontId="0" fillId="16" borderId="85" xfId="0" applyFill="1" applyBorder="1"/>
    <xf numFmtId="0" fontId="0" fillId="16" borderId="40" xfId="0" applyFill="1" applyBorder="1"/>
    <xf numFmtId="0" fontId="0" fillId="16" borderId="41" xfId="0" applyFill="1" applyBorder="1"/>
    <xf numFmtId="0" fontId="0" fillId="16" borderId="85" xfId="0" applyFill="1" applyBorder="1" applyAlignment="1">
      <alignment horizontal="center" vertical="center"/>
    </xf>
    <xf numFmtId="0" fontId="48" fillId="16" borderId="121" xfId="0" applyFont="1" applyFill="1" applyBorder="1" applyAlignment="1">
      <alignment horizontal="center" vertical="center"/>
    </xf>
    <xf numFmtId="0" fontId="0" fillId="16" borderId="122" xfId="0" applyFill="1" applyBorder="1" applyAlignment="1">
      <alignment horizontal="center" vertical="center"/>
    </xf>
    <xf numFmtId="0" fontId="48" fillId="16" borderId="41" xfId="0" applyFont="1" applyFill="1" applyBorder="1" applyAlignment="1">
      <alignment horizontal="center" vertical="center"/>
    </xf>
    <xf numFmtId="0" fontId="0" fillId="16" borderId="123" xfId="0" applyFill="1" applyBorder="1" applyAlignment="1">
      <alignment horizontal="center" vertical="center"/>
    </xf>
    <xf numFmtId="0" fontId="0" fillId="16" borderId="124" xfId="0" applyFill="1" applyBorder="1" applyAlignment="1">
      <alignment horizontal="center" vertical="center"/>
    </xf>
    <xf numFmtId="0" fontId="0" fillId="14" borderId="85" xfId="0" applyFill="1" applyBorder="1"/>
    <xf numFmtId="0" fontId="0" fillId="14" borderId="40" xfId="0" applyFill="1" applyBorder="1"/>
    <xf numFmtId="0" fontId="0" fillId="14" borderId="41" xfId="0" applyFill="1" applyBorder="1"/>
    <xf numFmtId="0" fontId="0" fillId="14" borderId="85" xfId="0" applyFill="1" applyBorder="1" applyAlignment="1">
      <alignment horizontal="center" vertical="center"/>
    </xf>
    <xf numFmtId="0" fontId="50" fillId="14" borderId="121" xfId="0" applyFont="1" applyFill="1" applyBorder="1" applyAlignment="1">
      <alignment horizontal="center" vertical="center"/>
    </xf>
    <xf numFmtId="0" fontId="0" fillId="14" borderId="122" xfId="0" applyFill="1" applyBorder="1" applyAlignment="1">
      <alignment horizontal="center" vertical="center"/>
    </xf>
    <xf numFmtId="0" fontId="50" fillId="14" borderId="41" xfId="0" applyFont="1" applyFill="1" applyBorder="1" applyAlignment="1">
      <alignment horizontal="center" vertical="center"/>
    </xf>
    <xf numFmtId="0" fontId="0" fillId="14" borderId="123" xfId="0" applyFill="1" applyBorder="1" applyAlignment="1">
      <alignment horizontal="center" vertical="center"/>
    </xf>
    <xf numFmtId="0" fontId="0" fillId="14" borderId="124" xfId="0" applyFill="1" applyBorder="1" applyAlignment="1">
      <alignment horizontal="center" vertical="center"/>
    </xf>
    <xf numFmtId="0" fontId="0" fillId="0" borderId="126" xfId="0" applyBorder="1"/>
    <xf numFmtId="0" fontId="0" fillId="0" borderId="127" xfId="0" applyBorder="1"/>
    <xf numFmtId="0" fontId="1" fillId="2" borderId="35" xfId="0" applyFont="1" applyFill="1" applyBorder="1"/>
    <xf numFmtId="0" fontId="1" fillId="3" borderId="35" xfId="0" applyFont="1" applyFill="1" applyBorder="1"/>
    <xf numFmtId="0" fontId="1" fillId="4" borderId="35" xfId="0" applyFont="1" applyFill="1" applyBorder="1"/>
    <xf numFmtId="0" fontId="1" fillId="5" borderId="35" xfId="0" applyFont="1" applyFill="1" applyBorder="1"/>
    <xf numFmtId="0" fontId="34" fillId="19" borderId="130" xfId="0" applyFont="1" applyFill="1" applyBorder="1"/>
    <xf numFmtId="0" fontId="0" fillId="0" borderId="129" xfId="0" applyBorder="1"/>
    <xf numFmtId="0" fontId="0" fillId="19" borderId="132" xfId="0" applyFill="1" applyBorder="1"/>
    <xf numFmtId="0" fontId="0" fillId="0" borderId="131" xfId="0" applyBorder="1"/>
    <xf numFmtId="0" fontId="0" fillId="2" borderId="0" xfId="0" applyFill="1"/>
    <xf numFmtId="0" fontId="0" fillId="17" borderId="0" xfId="0" applyFill="1"/>
    <xf numFmtId="0" fontId="0" fillId="3" borderId="0" xfId="0" applyFill="1"/>
    <xf numFmtId="0" fontId="0" fillId="16" borderId="0" xfId="0" applyFill="1"/>
    <xf numFmtId="0" fontId="0" fillId="4" borderId="0" xfId="0" applyFill="1"/>
    <xf numFmtId="0" fontId="0" fillId="14" borderId="0" xfId="0" applyFill="1"/>
    <xf numFmtId="0" fontId="0" fillId="5" borderId="0" xfId="0" applyFill="1"/>
    <xf numFmtId="0" fontId="0" fillId="15" borderId="0" xfId="0" applyFill="1"/>
    <xf numFmtId="0" fontId="0" fillId="10" borderId="117" xfId="0" applyFill="1" applyBorder="1" applyAlignment="1">
      <alignment horizontal="center" vertical="center"/>
    </xf>
    <xf numFmtId="0" fontId="0" fillId="17" borderId="117" xfId="0" applyFill="1" applyBorder="1" applyAlignment="1">
      <alignment horizontal="center" vertical="center"/>
    </xf>
    <xf numFmtId="0" fontId="0" fillId="17" borderId="121" xfId="0" applyFill="1" applyBorder="1" applyAlignment="1">
      <alignment horizontal="center" vertical="center"/>
    </xf>
    <xf numFmtId="0" fontId="0" fillId="0" borderId="117" xfId="0" applyBorder="1" applyAlignment="1">
      <alignment horizontal="center" vertical="center"/>
    </xf>
    <xf numFmtId="0" fontId="0" fillId="11" borderId="117" xfId="0" applyFill="1" applyBorder="1" applyAlignment="1">
      <alignment horizontal="center" vertical="center"/>
    </xf>
    <xf numFmtId="0" fontId="0" fillId="16" borderId="117" xfId="0" applyFill="1" applyBorder="1" applyAlignment="1">
      <alignment horizontal="center" vertical="center"/>
    </xf>
    <xf numFmtId="0" fontId="0" fillId="16" borderId="121" xfId="0" applyFill="1" applyBorder="1" applyAlignment="1">
      <alignment horizontal="center" vertical="center"/>
    </xf>
    <xf numFmtId="0" fontId="0" fillId="12" borderId="117" xfId="0" applyFill="1" applyBorder="1" applyAlignment="1">
      <alignment horizontal="center" vertical="center"/>
    </xf>
    <xf numFmtId="0" fontId="0" fillId="14" borderId="117" xfId="0" applyFill="1" applyBorder="1" applyAlignment="1">
      <alignment horizontal="center" vertical="center"/>
    </xf>
    <xf numFmtId="0" fontId="0" fillId="14" borderId="121" xfId="0" applyFill="1" applyBorder="1" applyAlignment="1">
      <alignment horizontal="center" vertical="center"/>
    </xf>
    <xf numFmtId="0" fontId="0" fillId="13" borderId="117" xfId="0" applyFill="1" applyBorder="1" applyAlignment="1">
      <alignment horizontal="center" vertical="center"/>
    </xf>
    <xf numFmtId="0" fontId="0" fillId="15" borderId="117" xfId="0" applyFill="1" applyBorder="1" applyAlignment="1">
      <alignment horizontal="center" vertical="center"/>
    </xf>
    <xf numFmtId="0" fontId="0" fillId="13" borderId="119" xfId="0" applyFill="1" applyBorder="1" applyAlignment="1">
      <alignment horizontal="center" vertical="center"/>
    </xf>
    <xf numFmtId="0" fontId="0" fillId="30" borderId="32" xfId="0" applyFill="1" applyBorder="1"/>
    <xf numFmtId="0" fontId="0" fillId="30" borderId="33" xfId="0" applyFill="1" applyBorder="1"/>
    <xf numFmtId="0" fontId="0" fillId="30" borderId="34" xfId="0" applyFill="1" applyBorder="1"/>
    <xf numFmtId="0" fontId="0" fillId="30" borderId="37" xfId="0" applyFill="1" applyBorder="1"/>
    <xf numFmtId="0" fontId="0" fillId="30" borderId="38" xfId="0" applyFill="1" applyBorder="1"/>
    <xf numFmtId="0" fontId="0" fillId="30" borderId="39" xfId="0" applyFill="1" applyBorder="1"/>
    <xf numFmtId="0" fontId="37" fillId="0" borderId="0" xfId="0" applyFont="1" applyAlignment="1">
      <alignment horizontal="left" vertical="top"/>
    </xf>
    <xf numFmtId="0" fontId="0" fillId="0" borderId="32" xfId="0" applyBorder="1" applyAlignment="1">
      <alignment horizontal="center"/>
    </xf>
    <xf numFmtId="0" fontId="0" fillId="0" borderId="115" xfId="0" applyBorder="1" applyAlignment="1">
      <alignment horizontal="center"/>
    </xf>
    <xf numFmtId="0" fontId="0" fillId="0" borderId="116" xfId="0" applyBorder="1" applyAlignment="1">
      <alignment horizontal="center"/>
    </xf>
    <xf numFmtId="0" fontId="0" fillId="0" borderId="34" xfId="0" applyBorder="1" applyAlignment="1">
      <alignment horizontal="center"/>
    </xf>
    <xf numFmtId="0" fontId="53" fillId="0" borderId="107" xfId="0" applyFont="1" applyBorder="1" applyAlignment="1">
      <alignment horizontal="center" vertical="center"/>
    </xf>
    <xf numFmtId="0" fontId="53" fillId="0" borderId="108" xfId="0" applyFont="1" applyBorder="1" applyAlignment="1">
      <alignment horizontal="center" vertical="center"/>
    </xf>
    <xf numFmtId="0" fontId="53" fillId="0" borderId="109" xfId="0" applyFont="1" applyBorder="1" applyAlignment="1">
      <alignment horizontal="center" vertical="center"/>
    </xf>
    <xf numFmtId="0" fontId="0" fillId="0" borderId="117" xfId="0" applyBorder="1"/>
    <xf numFmtId="0" fontId="0" fillId="0" borderId="118" xfId="0" applyBorder="1"/>
    <xf numFmtId="0" fontId="0" fillId="0" borderId="110" xfId="0" applyBorder="1"/>
    <xf numFmtId="0" fontId="0" fillId="0" borderId="111" xfId="0" applyBorder="1"/>
    <xf numFmtId="0" fontId="0" fillId="0" borderId="112" xfId="0" applyBorder="1"/>
    <xf numFmtId="0" fontId="0" fillId="0" borderId="45" xfId="0" applyBorder="1"/>
    <xf numFmtId="0" fontId="0" fillId="0" borderId="66" xfId="0" applyBorder="1"/>
    <xf numFmtId="0" fontId="0" fillId="0" borderId="0" xfId="0" applyAlignment="1">
      <alignment horizontal="right" vertical="top"/>
    </xf>
    <xf numFmtId="49" fontId="0" fillId="0" borderId="66" xfId="0" applyNumberFormat="1" applyBorder="1"/>
    <xf numFmtId="0" fontId="4" fillId="10" borderId="0" xfId="0" applyFont="1" applyFill="1"/>
    <xf numFmtId="0" fontId="4" fillId="11" borderId="0" xfId="0" applyFont="1" applyFill="1"/>
    <xf numFmtId="0" fontId="4" fillId="12" borderId="0" xfId="0" applyFont="1" applyFill="1"/>
    <xf numFmtId="0" fontId="4" fillId="13" borderId="0" xfId="0" applyFont="1" applyFill="1"/>
    <xf numFmtId="0" fontId="4" fillId="31" borderId="0" xfId="0" applyFont="1" applyFill="1"/>
    <xf numFmtId="0" fontId="0" fillId="0" borderId="0" xfId="0" applyAlignment="1">
      <alignment horizontal="left" indent="2"/>
    </xf>
    <xf numFmtId="0" fontId="0" fillId="0" borderId="0" xfId="0" applyAlignment="1">
      <alignment horizontal="left" wrapText="1" indent="2"/>
    </xf>
    <xf numFmtId="0" fontId="57" fillId="0" borderId="0" xfId="0" applyFont="1"/>
    <xf numFmtId="0" fontId="1" fillId="0" borderId="43" xfId="0" applyFont="1" applyBorder="1" applyAlignment="1">
      <alignment horizontal="left" vertical="center" indent="1"/>
    </xf>
    <xf numFmtId="0" fontId="1" fillId="0" borderId="21" xfId="0" applyFont="1" applyBorder="1" applyAlignment="1">
      <alignment horizontal="left" vertical="center" indent="1"/>
    </xf>
    <xf numFmtId="0" fontId="0" fillId="0" borderId="1" xfId="0" applyBorder="1" applyAlignment="1">
      <alignment horizontal="left" vertical="center" wrapText="1" indent="1"/>
    </xf>
    <xf numFmtId="0" fontId="0" fillId="0" borderId="29" xfId="0" applyBorder="1" applyAlignment="1">
      <alignment horizontal="left" vertical="center" wrapText="1" indent="1"/>
    </xf>
    <xf numFmtId="0" fontId="1" fillId="0" borderId="63" xfId="0" applyFont="1" applyBorder="1" applyAlignment="1">
      <alignment horizontal="left" vertical="center" indent="1"/>
    </xf>
    <xf numFmtId="0" fontId="1" fillId="0" borderId="83" xfId="0" applyFont="1" applyBorder="1" applyAlignment="1">
      <alignment horizontal="left" vertical="center" indent="1"/>
    </xf>
    <xf numFmtId="0" fontId="0" fillId="0" borderId="11" xfId="0" applyBorder="1" applyAlignment="1">
      <alignment horizontal="left" vertical="center" wrapText="1" indent="1"/>
    </xf>
    <xf numFmtId="0" fontId="0" fillId="0" borderId="87" xfId="0" applyBorder="1" applyAlignment="1">
      <alignment horizontal="left" vertical="center" wrapText="1" indent="1"/>
    </xf>
    <xf numFmtId="0" fontId="41" fillId="0" borderId="0" xfId="0" applyFont="1" applyAlignment="1">
      <alignment horizontal="left" vertical="center" wrapText="1"/>
    </xf>
    <xf numFmtId="0" fontId="0" fillId="0" borderId="0" xfId="0" applyAlignment="1">
      <alignment horizontal="left" vertical="center" wrapText="1"/>
    </xf>
    <xf numFmtId="0" fontId="1" fillId="0" borderId="40" xfId="0" applyFont="1" applyBorder="1" applyAlignment="1">
      <alignment horizontal="left" vertical="center" indent="1"/>
    </xf>
    <xf numFmtId="0" fontId="1" fillId="0" borderId="23" xfId="0" applyFont="1" applyBorder="1" applyAlignment="1">
      <alignment horizontal="left" vertical="center" indent="1"/>
    </xf>
    <xf numFmtId="0" fontId="0" fillId="0" borderId="14" xfId="0" applyBorder="1" applyAlignment="1">
      <alignment horizontal="left" vertical="center" wrapText="1" indent="1"/>
    </xf>
    <xf numFmtId="0" fontId="0" fillId="0" borderId="31" xfId="0" applyBorder="1" applyAlignment="1">
      <alignment horizontal="left" vertical="center" wrapText="1" indent="1"/>
    </xf>
    <xf numFmtId="0" fontId="17" fillId="26" borderId="0" xfId="0" applyFont="1" applyFill="1" applyAlignment="1">
      <alignment horizontal="left" vertical="top"/>
    </xf>
    <xf numFmtId="0" fontId="42" fillId="0" borderId="0" xfId="0" applyFont="1" applyAlignment="1">
      <alignment horizontal="left" vertical="center"/>
    </xf>
    <xf numFmtId="0" fontId="1" fillId="0" borderId="11" xfId="0" applyFont="1" applyBorder="1" applyAlignment="1">
      <alignment horizontal="left" vertical="center" indent="1"/>
    </xf>
    <xf numFmtId="0" fontId="0" fillId="0" borderId="0" xfId="0" applyAlignment="1">
      <alignment horizontal="left" vertical="top" wrapText="1"/>
    </xf>
    <xf numFmtId="0" fontId="19" fillId="25" borderId="0" xfId="0" applyFont="1" applyFill="1" applyAlignment="1">
      <alignment horizontal="left" vertical="center"/>
    </xf>
    <xf numFmtId="0" fontId="1" fillId="0" borderId="0" xfId="0" applyFont="1" applyAlignment="1">
      <alignment horizontal="left" vertical="top" wrapText="1"/>
    </xf>
    <xf numFmtId="0" fontId="1" fillId="27" borderId="0" xfId="0" applyFont="1" applyFill="1" applyAlignment="1">
      <alignment horizontal="left" vertical="top"/>
    </xf>
    <xf numFmtId="0" fontId="18" fillId="0" borderId="0" xfId="0" applyFont="1" applyAlignment="1">
      <alignment horizontal="center" vertical="center"/>
    </xf>
    <xf numFmtId="0" fontId="0" fillId="0" borderId="0" xfId="0" quotePrefix="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29" xfId="0" applyBorder="1" applyAlignment="1">
      <alignment horizontal="left" vertical="center" wrapText="1"/>
    </xf>
    <xf numFmtId="0" fontId="0" fillId="0" borderId="11" xfId="0" applyBorder="1" applyAlignment="1">
      <alignment horizontal="left" vertical="center" wrapText="1"/>
    </xf>
    <xf numFmtId="0" fontId="0" fillId="0" borderId="87" xfId="0" applyBorder="1" applyAlignment="1">
      <alignment horizontal="left" vertical="center" wrapText="1"/>
    </xf>
    <xf numFmtId="0" fontId="1" fillId="11" borderId="16" xfId="0" applyFont="1" applyFill="1" applyBorder="1" applyAlignment="1">
      <alignment horizontal="center"/>
    </xf>
    <xf numFmtId="0" fontId="1" fillId="11" borderId="17" xfId="0" applyFont="1" applyFill="1" applyBorder="1" applyAlignment="1">
      <alignment horizontal="center"/>
    </xf>
    <xf numFmtId="0" fontId="1" fillId="11" borderId="18" xfId="0" applyFont="1" applyFill="1" applyBorder="1" applyAlignment="1">
      <alignment horizontal="center"/>
    </xf>
    <xf numFmtId="0" fontId="1" fillId="11" borderId="19" xfId="0" applyFont="1" applyFill="1"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xf>
    <xf numFmtId="0" fontId="21" fillId="0" borderId="5" xfId="0" applyFont="1" applyBorder="1" applyAlignment="1">
      <alignment horizontal="center" vertical="center"/>
    </xf>
    <xf numFmtId="0" fontId="21" fillId="0" borderId="1"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0" fillId="0" borderId="2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1" xfId="0" applyBorder="1" applyAlignment="1">
      <alignment horizontal="left" vertical="center" wrapText="1"/>
    </xf>
    <xf numFmtId="0" fontId="0" fillId="0" borderId="6" xfId="0" applyBorder="1" applyAlignment="1">
      <alignment horizontal="left" vertical="center" wrapText="1"/>
    </xf>
    <xf numFmtId="0" fontId="0" fillId="0" borderId="22"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 fillId="0" borderId="1" xfId="0" applyFont="1" applyBorder="1" applyAlignment="1">
      <alignment horizontal="left" vertical="center" indent="1"/>
    </xf>
    <xf numFmtId="0" fontId="1" fillId="0" borderId="14" xfId="0" applyFont="1" applyBorder="1" applyAlignment="1">
      <alignment horizontal="left" vertical="center" indent="1"/>
    </xf>
    <xf numFmtId="0" fontId="0" fillId="0" borderId="31" xfId="0" applyBorder="1" applyAlignment="1">
      <alignment horizontal="left" vertical="center" wrapText="1"/>
    </xf>
    <xf numFmtId="0" fontId="1" fillId="0" borderId="23" xfId="0" applyFont="1" applyBorder="1" applyAlignment="1">
      <alignment horizontal="left" vertical="center" wrapText="1" indent="1"/>
    </xf>
    <xf numFmtId="0" fontId="1" fillId="0" borderId="14" xfId="0" applyFont="1" applyBorder="1" applyAlignment="1">
      <alignment horizontal="left" vertical="center" wrapText="1" indent="1"/>
    </xf>
    <xf numFmtId="0" fontId="1" fillId="0" borderId="0" xfId="0" applyFont="1" applyAlignment="1">
      <alignment horizontal="center" vertical="center" wrapText="1"/>
    </xf>
    <xf numFmtId="0" fontId="0" fillId="0" borderId="89" xfId="0" applyBorder="1" applyAlignment="1">
      <alignment horizontal="left" vertical="top"/>
    </xf>
    <xf numFmtId="0" fontId="0" fillId="0" borderId="90" xfId="0" applyBorder="1" applyAlignment="1">
      <alignment horizontal="left" vertical="top"/>
    </xf>
    <xf numFmtId="0" fontId="0" fillId="0" borderId="91" xfId="0" applyBorder="1" applyAlignment="1">
      <alignment horizontal="left" vertical="top"/>
    </xf>
    <xf numFmtId="0" fontId="32" fillId="0" borderId="0" xfId="0" applyFont="1" applyAlignment="1">
      <alignment horizontal="left"/>
    </xf>
    <xf numFmtId="0" fontId="1" fillId="0" borderId="55" xfId="0" applyFont="1" applyBorder="1" applyAlignment="1">
      <alignment horizontal="left" vertical="center"/>
    </xf>
    <xf numFmtId="0" fontId="1" fillId="0" borderId="22" xfId="0" applyFont="1" applyBorder="1" applyAlignment="1">
      <alignment horizontal="left" vertical="center"/>
    </xf>
    <xf numFmtId="0" fontId="1" fillId="16" borderId="47" xfId="0" applyFont="1" applyFill="1" applyBorder="1" applyAlignment="1">
      <alignment horizontal="left"/>
    </xf>
    <xf numFmtId="0" fontId="1" fillId="16" borderId="42" xfId="0" applyFont="1" applyFill="1" applyBorder="1" applyAlignment="1">
      <alignment horizontal="left"/>
    </xf>
    <xf numFmtId="0" fontId="1" fillId="16" borderId="46" xfId="0" applyFont="1" applyFill="1" applyBorder="1" applyAlignment="1">
      <alignment horizontal="left"/>
    </xf>
    <xf numFmtId="14" fontId="0" fillId="0" borderId="30" xfId="0" applyNumberFormat="1" applyBorder="1" applyAlignment="1">
      <alignment horizontal="left" vertical="top"/>
    </xf>
    <xf numFmtId="14" fontId="0" fillId="0" borderId="44" xfId="0" applyNumberFormat="1" applyBorder="1" applyAlignment="1">
      <alignment horizontal="left" vertical="top"/>
    </xf>
    <xf numFmtId="14" fontId="0" fillId="0" borderId="56" xfId="0" applyNumberFormat="1" applyBorder="1" applyAlignment="1">
      <alignment horizontal="left" vertical="top"/>
    </xf>
    <xf numFmtId="14" fontId="0" fillId="0" borderId="29" xfId="0" applyNumberFormat="1" applyBorder="1" applyAlignment="1">
      <alignment horizontal="left"/>
    </xf>
    <xf numFmtId="14" fontId="0" fillId="0" borderId="43" xfId="0" applyNumberFormat="1" applyBorder="1" applyAlignment="1">
      <alignment horizontal="left"/>
    </xf>
    <xf numFmtId="14" fontId="0" fillId="0" borderId="54" xfId="0" applyNumberFormat="1" applyBorder="1" applyAlignment="1">
      <alignment horizontal="left"/>
    </xf>
    <xf numFmtId="0" fontId="0" fillId="0" borderId="29" xfId="0" applyBorder="1" applyAlignment="1">
      <alignment horizontal="left"/>
    </xf>
    <xf numFmtId="0" fontId="0" fillId="0" borderId="43" xfId="0" applyBorder="1" applyAlignment="1">
      <alignment horizontal="left"/>
    </xf>
    <xf numFmtId="0" fontId="0" fillId="0" borderId="54" xfId="0" applyBorder="1" applyAlignment="1">
      <alignment horizontal="left"/>
    </xf>
    <xf numFmtId="0" fontId="0" fillId="0" borderId="71" xfId="0" applyBorder="1" applyAlignment="1">
      <alignment horizontal="left"/>
    </xf>
    <xf numFmtId="0" fontId="0" fillId="0" borderId="50" xfId="0" applyBorder="1" applyAlignment="1">
      <alignment horizontal="left"/>
    </xf>
    <xf numFmtId="0" fontId="0" fillId="0" borderId="52" xfId="0" applyBorder="1" applyAlignment="1">
      <alignment horizontal="left"/>
    </xf>
    <xf numFmtId="14" fontId="3" fillId="0" borderId="44" xfId="0" applyNumberFormat="1" applyFont="1" applyBorder="1" applyAlignment="1">
      <alignment horizontal="right" vertical="top"/>
    </xf>
    <xf numFmtId="14" fontId="3" fillId="0" borderId="56" xfId="0" applyNumberFormat="1" applyFont="1" applyBorder="1" applyAlignment="1">
      <alignment horizontal="right" vertical="top"/>
    </xf>
    <xf numFmtId="0" fontId="56" fillId="0" borderId="0" xfId="0" applyFont="1" applyAlignment="1">
      <alignment horizontal="center"/>
    </xf>
    <xf numFmtId="0" fontId="1" fillId="0" borderId="5" xfId="0" applyFont="1" applyBorder="1" applyAlignment="1">
      <alignment horizontal="left"/>
    </xf>
    <xf numFmtId="0" fontId="1" fillId="0" borderId="1"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1" fillId="15" borderId="16" xfId="0" applyFont="1" applyFill="1" applyBorder="1" applyAlignment="1">
      <alignment horizontal="left"/>
    </xf>
    <xf numFmtId="0" fontId="1" fillId="15" borderId="17" xfId="0" applyFont="1" applyFill="1" applyBorder="1" applyAlignment="1">
      <alignment horizontal="left"/>
    </xf>
    <xf numFmtId="0" fontId="1" fillId="15" borderId="18" xfId="0" applyFont="1" applyFill="1"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 xfId="0" applyBorder="1" applyAlignment="1">
      <alignment horizontal="left"/>
    </xf>
    <xf numFmtId="0" fontId="0" fillId="0" borderId="6" xfId="0" applyBorder="1" applyAlignment="1">
      <alignment horizontal="left"/>
    </xf>
    <xf numFmtId="14" fontId="0" fillId="0" borderId="1" xfId="0" applyNumberFormat="1" applyBorder="1" applyAlignment="1">
      <alignment horizontal="left"/>
    </xf>
    <xf numFmtId="14" fontId="0" fillId="0" borderId="6" xfId="0" applyNumberFormat="1" applyBorder="1" applyAlignment="1">
      <alignment horizontal="left"/>
    </xf>
    <xf numFmtId="0" fontId="26" fillId="0" borderId="0" xfId="0" applyFont="1" applyAlignment="1">
      <alignment horizontal="left"/>
    </xf>
    <xf numFmtId="0" fontId="29" fillId="0" borderId="0" xfId="0" applyFont="1" applyAlignment="1">
      <alignment horizontal="left" indent="1"/>
    </xf>
    <xf numFmtId="0" fontId="1" fillId="0" borderId="53" xfId="0" applyFont="1" applyBorder="1" applyAlignment="1">
      <alignment horizontal="left" vertical="top"/>
    </xf>
    <xf numFmtId="0" fontId="1" fillId="0" borderId="21" xfId="0" applyFont="1" applyBorder="1" applyAlignment="1">
      <alignment horizontal="left" vertical="top"/>
    </xf>
    <xf numFmtId="0" fontId="1" fillId="0" borderId="85" xfId="0" applyFont="1" applyBorder="1" applyAlignment="1">
      <alignment horizontal="left" vertical="top"/>
    </xf>
    <xf numFmtId="0" fontId="1" fillId="0" borderId="23" xfId="0" applyFont="1" applyBorder="1" applyAlignment="1">
      <alignment horizontal="left" vertical="top"/>
    </xf>
    <xf numFmtId="0" fontId="0" fillId="0" borderId="30" xfId="0" applyBorder="1" applyAlignment="1">
      <alignment horizontal="left" vertical="top" wrapText="1"/>
    </xf>
    <xf numFmtId="0" fontId="0" fillId="0" borderId="44" xfId="0" applyBorder="1" applyAlignment="1">
      <alignment horizontal="left" vertical="top" wrapText="1"/>
    </xf>
    <xf numFmtId="0" fontId="0" fillId="0" borderId="56" xfId="0" applyBorder="1" applyAlignment="1">
      <alignment horizontal="left" vertical="top" wrapText="1"/>
    </xf>
    <xf numFmtId="0" fontId="0" fillId="0" borderId="29" xfId="0" applyBorder="1" applyAlignment="1">
      <alignment horizontal="left" vertical="top"/>
    </xf>
    <xf numFmtId="0" fontId="0" fillId="0" borderId="43" xfId="0" applyBorder="1" applyAlignment="1">
      <alignment horizontal="left" vertical="top"/>
    </xf>
    <xf numFmtId="0" fontId="0" fillId="0" borderId="54" xfId="0" applyBorder="1" applyAlignment="1">
      <alignment horizontal="left" vertical="top"/>
    </xf>
    <xf numFmtId="0" fontId="0" fillId="0" borderId="31" xfId="0" applyBorder="1" applyAlignment="1">
      <alignment horizontal="left" vertical="top"/>
    </xf>
    <xf numFmtId="0" fontId="0" fillId="0" borderId="40" xfId="0" applyBorder="1" applyAlignment="1">
      <alignment horizontal="left" vertical="top"/>
    </xf>
    <xf numFmtId="0" fontId="0" fillId="0" borderId="41" xfId="0" applyBorder="1" applyAlignment="1">
      <alignment horizontal="left" vertical="top"/>
    </xf>
    <xf numFmtId="0" fontId="0" fillId="0" borderId="0" xfId="0" applyAlignment="1">
      <alignment horizontal="left" vertical="top" wrapText="1" indent="1"/>
    </xf>
    <xf numFmtId="0" fontId="0" fillId="0" borderId="0" xfId="0" quotePrefix="1" applyAlignment="1">
      <alignment horizontal="left" vertical="top" wrapText="1" indent="1"/>
    </xf>
    <xf numFmtId="0" fontId="24" fillId="28" borderId="47" xfId="0" applyFont="1" applyFill="1" applyBorder="1" applyAlignment="1">
      <alignment horizontal="left" vertical="center"/>
    </xf>
    <xf numFmtId="0" fontId="24" fillId="28" borderId="19" xfId="0" applyFont="1" applyFill="1" applyBorder="1" applyAlignment="1">
      <alignment horizontal="left" vertical="center"/>
    </xf>
    <xf numFmtId="0" fontId="24" fillId="28" borderId="28" xfId="0" applyFont="1" applyFill="1" applyBorder="1" applyAlignment="1">
      <alignment horizontal="left" vertical="center"/>
    </xf>
    <xf numFmtId="0" fontId="24" fillId="28" borderId="42" xfId="0" applyFont="1" applyFill="1" applyBorder="1" applyAlignment="1">
      <alignment horizontal="left" vertical="center"/>
    </xf>
    <xf numFmtId="0" fontId="24" fillId="28" borderId="46" xfId="0" applyFont="1" applyFill="1" applyBorder="1" applyAlignment="1">
      <alignment horizontal="left" vertical="center"/>
    </xf>
    <xf numFmtId="0" fontId="0" fillId="0" borderId="31"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1" fillId="0" borderId="55" xfId="0" applyFont="1" applyBorder="1" applyAlignment="1">
      <alignment horizontal="left" vertical="top"/>
    </xf>
    <xf numFmtId="0" fontId="1" fillId="0" borderId="22" xfId="0" applyFont="1" applyBorder="1" applyAlignment="1">
      <alignment horizontal="left" vertical="top"/>
    </xf>
    <xf numFmtId="0" fontId="24" fillId="28" borderId="48" xfId="0" applyFont="1" applyFill="1" applyBorder="1" applyAlignment="1">
      <alignment horizontal="left" vertical="center"/>
    </xf>
    <xf numFmtId="0" fontId="24" fillId="28" borderId="57" xfId="0" applyFont="1" applyFill="1" applyBorder="1" applyAlignment="1">
      <alignment horizontal="left" vertical="center"/>
    </xf>
    <xf numFmtId="0" fontId="24" fillId="28" borderId="57" xfId="0" applyFont="1" applyFill="1" applyBorder="1" applyAlignment="1">
      <alignment horizontal="center" vertical="center"/>
    </xf>
    <xf numFmtId="0" fontId="24" fillId="28" borderId="58" xfId="0" applyFont="1" applyFill="1" applyBorder="1" applyAlignment="1">
      <alignment horizontal="center" vertical="center"/>
    </xf>
    <xf numFmtId="0" fontId="0" fillId="0" borderId="29" xfId="0" applyBorder="1" applyAlignment="1">
      <alignment horizontal="left" vertical="top" wrapText="1"/>
    </xf>
    <xf numFmtId="0" fontId="0" fillId="0" borderId="43" xfId="0" applyBorder="1" applyAlignment="1">
      <alignment horizontal="left" vertical="top" wrapText="1"/>
    </xf>
    <xf numFmtId="0" fontId="0" fillId="0" borderId="54" xfId="0" applyBorder="1" applyAlignment="1">
      <alignment horizontal="left" vertical="top" wrapText="1"/>
    </xf>
    <xf numFmtId="0" fontId="24" fillId="28" borderId="32" xfId="0" applyFont="1" applyFill="1" applyBorder="1" applyAlignment="1">
      <alignment horizontal="left" vertical="center"/>
    </xf>
    <xf numFmtId="0" fontId="24" fillId="28" borderId="33" xfId="0" applyFont="1" applyFill="1" applyBorder="1" applyAlignment="1">
      <alignment horizontal="left" vertical="center"/>
    </xf>
    <xf numFmtId="0" fontId="24" fillId="28" borderId="34" xfId="0" applyFont="1" applyFill="1" applyBorder="1" applyAlignment="1">
      <alignment horizontal="left" vertical="center"/>
    </xf>
    <xf numFmtId="0" fontId="1" fillId="0" borderId="70"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left" vertical="center"/>
    </xf>
    <xf numFmtId="0" fontId="0" fillId="0" borderId="22" xfId="0" applyBorder="1" applyAlignment="1">
      <alignment horizontal="left" vertical="top"/>
    </xf>
    <xf numFmtId="0" fontId="0" fillId="0" borderId="8" xfId="0" applyBorder="1" applyAlignment="1">
      <alignment horizontal="left" vertical="top"/>
    </xf>
    <xf numFmtId="0" fontId="0" fillId="0" borderId="8" xfId="0" applyBorder="1" applyAlignment="1">
      <alignment horizontal="center" vertical="top"/>
    </xf>
    <xf numFmtId="0" fontId="0" fillId="0" borderId="9" xfId="0" applyBorder="1" applyAlignment="1">
      <alignment horizontal="center" vertical="top"/>
    </xf>
    <xf numFmtId="0" fontId="0" fillId="0" borderId="0" xfId="0" applyAlignment="1">
      <alignment horizontal="left" indent="1"/>
    </xf>
    <xf numFmtId="0" fontId="23" fillId="0" borderId="0" xfId="2" applyAlignment="1">
      <alignment horizontal="left" vertical="top"/>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0" fillId="0" borderId="1" xfId="0" quotePrefix="1" applyBorder="1" applyAlignment="1">
      <alignment horizontal="left" vertical="center" wrapText="1"/>
    </xf>
    <xf numFmtId="0" fontId="0" fillId="0" borderId="1"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left"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3" xfId="0" quotePrefix="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70" xfId="0" applyBorder="1" applyAlignment="1">
      <alignment horizontal="left" vertical="top"/>
    </xf>
    <xf numFmtId="0" fontId="0" fillId="0" borderId="3" xfId="0" applyBorder="1" applyAlignment="1">
      <alignment horizontal="left" vertical="top"/>
    </xf>
    <xf numFmtId="0" fontId="0" fillId="0" borderId="0" xfId="0" applyAlignment="1">
      <alignment horizontal="left" vertical="top"/>
    </xf>
    <xf numFmtId="0" fontId="0" fillId="0" borderId="8" xfId="0" quotePrefix="1"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2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center" vertical="top"/>
    </xf>
    <xf numFmtId="0" fontId="0" fillId="0" borderId="15" xfId="0" applyBorder="1" applyAlignment="1">
      <alignment horizontal="center" vertical="top"/>
    </xf>
    <xf numFmtId="0" fontId="0" fillId="0" borderId="21" xfId="0" applyBorder="1" applyAlignment="1">
      <alignment horizontal="left" vertical="top"/>
    </xf>
    <xf numFmtId="0" fontId="0" fillId="0" borderId="45" xfId="0" applyBorder="1" applyAlignment="1">
      <alignment horizontal="center" vertical="center" wrapText="1"/>
    </xf>
    <xf numFmtId="0" fontId="0" fillId="0" borderId="66" xfId="0" applyBorder="1" applyAlignment="1">
      <alignment horizontal="center" vertical="center" wrapText="1"/>
    </xf>
    <xf numFmtId="0" fontId="0" fillId="0" borderId="59" xfId="0" applyBorder="1" applyAlignment="1">
      <alignment horizontal="center" vertical="center" wrapText="1"/>
    </xf>
    <xf numFmtId="0" fontId="4" fillId="18" borderId="47" xfId="0" applyFont="1" applyFill="1" applyBorder="1" applyAlignment="1">
      <alignment horizontal="center"/>
    </xf>
    <xf numFmtId="0" fontId="4" fillId="18" borderId="42" xfId="0" applyFont="1" applyFill="1" applyBorder="1" applyAlignment="1">
      <alignment horizontal="center"/>
    </xf>
    <xf numFmtId="0" fontId="4" fillId="18" borderId="46" xfId="0" applyFont="1" applyFill="1" applyBorder="1" applyAlignment="1">
      <alignment horizontal="center"/>
    </xf>
    <xf numFmtId="0" fontId="0" fillId="9" borderId="57" xfId="0" applyFill="1" applyBorder="1" applyAlignment="1">
      <alignment horizontal="left" vertical="top" wrapText="1"/>
    </xf>
    <xf numFmtId="0" fontId="0" fillId="9" borderId="68" xfId="0" applyFill="1" applyBorder="1" applyAlignment="1">
      <alignment horizontal="left" vertical="top" wrapText="1"/>
    </xf>
    <xf numFmtId="0" fontId="0" fillId="9" borderId="61" xfId="0" applyFill="1" applyBorder="1" applyAlignment="1">
      <alignment horizontal="left" vertical="top" wrapText="1"/>
    </xf>
    <xf numFmtId="0" fontId="1" fillId="9" borderId="70" xfId="0" applyFont="1" applyFill="1" applyBorder="1" applyAlignment="1">
      <alignment horizontal="left" vertical="center" wrapText="1"/>
    </xf>
    <xf numFmtId="0" fontId="1" fillId="9" borderId="5" xfId="0"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8" borderId="48" xfId="0" applyFont="1" applyFill="1" applyBorder="1" applyAlignment="1">
      <alignment horizontal="left" vertical="center" wrapText="1"/>
    </xf>
    <xf numFmtId="0" fontId="1" fillId="8" borderId="69" xfId="0" applyFont="1" applyFill="1" applyBorder="1" applyAlignment="1">
      <alignment horizontal="left" vertical="center" wrapText="1"/>
    </xf>
    <xf numFmtId="0" fontId="1" fillId="8" borderId="60" xfId="0" applyFont="1" applyFill="1" applyBorder="1" applyAlignment="1">
      <alignment horizontal="left" vertical="center" wrapText="1"/>
    </xf>
    <xf numFmtId="0" fontId="0" fillId="7" borderId="58" xfId="0" applyFill="1" applyBorder="1" applyAlignment="1">
      <alignment horizontal="left" vertical="top" wrapText="1"/>
    </xf>
    <xf numFmtId="0" fontId="0" fillId="7" borderId="67" xfId="0" applyFill="1" applyBorder="1" applyAlignment="1">
      <alignment horizontal="left" vertical="top" wrapText="1"/>
    </xf>
    <xf numFmtId="0" fontId="0" fillId="7" borderId="62" xfId="0" applyFill="1" applyBorder="1" applyAlignment="1">
      <alignment horizontal="left" vertical="top" wrapText="1"/>
    </xf>
    <xf numFmtId="0" fontId="0" fillId="7" borderId="57" xfId="0" applyFill="1" applyBorder="1" applyAlignment="1">
      <alignment horizontal="left" vertical="top" wrapText="1"/>
    </xf>
    <xf numFmtId="0" fontId="0" fillId="7" borderId="68" xfId="0" applyFill="1" applyBorder="1" applyAlignment="1">
      <alignment horizontal="left" vertical="top" wrapText="1"/>
    </xf>
    <xf numFmtId="0" fontId="0" fillId="7" borderId="61" xfId="0" applyFill="1" applyBorder="1" applyAlignment="1">
      <alignment horizontal="left" vertical="top" wrapText="1"/>
    </xf>
    <xf numFmtId="0" fontId="1" fillId="7" borderId="48" xfId="0" applyFont="1" applyFill="1" applyBorder="1" applyAlignment="1">
      <alignment horizontal="left" vertical="center" wrapText="1"/>
    </xf>
    <xf numFmtId="0" fontId="1" fillId="7" borderId="69" xfId="0" applyFont="1" applyFill="1" applyBorder="1" applyAlignment="1">
      <alignment horizontal="left" vertical="center" wrapText="1"/>
    </xf>
    <xf numFmtId="0" fontId="1" fillId="7" borderId="60" xfId="0" applyFont="1" applyFill="1" applyBorder="1" applyAlignment="1">
      <alignment horizontal="left" vertical="center" wrapText="1"/>
    </xf>
    <xf numFmtId="0" fontId="0" fillId="0" borderId="32"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0" fillId="0" borderId="34" xfId="0" applyBorder="1" applyAlignment="1">
      <alignment horizontal="left" vertical="top"/>
    </xf>
    <xf numFmtId="0" fontId="0" fillId="0" borderId="36" xfId="0" applyBorder="1" applyAlignment="1">
      <alignment horizontal="left" vertical="top"/>
    </xf>
    <xf numFmtId="0" fontId="0" fillId="0" borderId="39" xfId="0" applyBorder="1" applyAlignment="1">
      <alignment horizontal="left" vertical="top"/>
    </xf>
    <xf numFmtId="0" fontId="4" fillId="5" borderId="24" xfId="0" applyFont="1" applyFill="1" applyBorder="1" applyAlignment="1">
      <alignment horizontal="center" vertical="center"/>
    </xf>
    <xf numFmtId="0" fontId="4" fillId="5" borderId="25" xfId="0" applyFont="1" applyFill="1" applyBorder="1" applyAlignment="1">
      <alignment horizontal="center" vertical="center"/>
    </xf>
    <xf numFmtId="0" fontId="4" fillId="5" borderId="26" xfId="0" applyFont="1" applyFill="1" applyBorder="1" applyAlignment="1">
      <alignment horizontal="center" vertical="center"/>
    </xf>
    <xf numFmtId="0" fontId="0" fillId="0" borderId="51" xfId="0" applyBorder="1" applyAlignment="1">
      <alignment horizontal="center" vertical="center"/>
    </xf>
    <xf numFmtId="0" fontId="0" fillId="0" borderId="53" xfId="0" applyBorder="1" applyAlignment="1">
      <alignment horizontal="center" vertical="center"/>
    </xf>
    <xf numFmtId="0" fontId="0" fillId="0" borderId="55" xfId="0" applyBorder="1" applyAlignment="1">
      <alignment horizontal="center" vertical="center"/>
    </xf>
    <xf numFmtId="0" fontId="0" fillId="9" borderId="71" xfId="0" applyFill="1" applyBorder="1" applyAlignment="1">
      <alignment horizontal="left" vertical="top" wrapText="1"/>
    </xf>
    <xf numFmtId="0" fontId="0" fillId="9" borderId="29" xfId="0" applyFill="1" applyBorder="1" applyAlignment="1">
      <alignment horizontal="left" vertical="top" wrapText="1"/>
    </xf>
    <xf numFmtId="0" fontId="0" fillId="9" borderId="30" xfId="0" applyFill="1" applyBorder="1" applyAlignment="1">
      <alignment horizontal="left" vertical="top" wrapText="1"/>
    </xf>
    <xf numFmtId="0" fontId="0" fillId="9" borderId="3" xfId="0" applyFill="1" applyBorder="1" applyAlignment="1">
      <alignment horizontal="left" vertical="top" wrapText="1"/>
    </xf>
    <xf numFmtId="0" fontId="0" fillId="9" borderId="1" xfId="0" applyFill="1" applyBorder="1" applyAlignment="1">
      <alignment horizontal="left" vertical="top" wrapText="1"/>
    </xf>
    <xf numFmtId="0" fontId="0" fillId="9" borderId="8" xfId="0" applyFill="1" applyBorder="1" applyAlignment="1">
      <alignment horizontal="left" vertical="top" wrapText="1"/>
    </xf>
    <xf numFmtId="0" fontId="4" fillId="4" borderId="45" xfId="0" applyFont="1" applyFill="1" applyBorder="1" applyAlignment="1">
      <alignment horizontal="center" vertical="center"/>
    </xf>
    <xf numFmtId="0" fontId="4" fillId="4" borderId="66" xfId="0" applyFont="1" applyFill="1" applyBorder="1" applyAlignment="1">
      <alignment horizontal="center" vertical="center"/>
    </xf>
    <xf numFmtId="0" fontId="0" fillId="8" borderId="58" xfId="0" applyFill="1" applyBorder="1" applyAlignment="1">
      <alignment horizontal="left" vertical="top" wrapText="1"/>
    </xf>
    <xf numFmtId="0" fontId="0" fillId="8" borderId="67" xfId="0" applyFill="1" applyBorder="1" applyAlignment="1">
      <alignment horizontal="left" vertical="top" wrapText="1"/>
    </xf>
    <xf numFmtId="0" fontId="0" fillId="8" borderId="57" xfId="0" applyFill="1" applyBorder="1" applyAlignment="1">
      <alignment horizontal="left" vertical="top" wrapText="1"/>
    </xf>
    <xf numFmtId="0" fontId="0" fillId="8" borderId="68" xfId="0" applyFill="1" applyBorder="1" applyAlignment="1">
      <alignment horizontal="left" vertical="top" wrapText="1"/>
    </xf>
    <xf numFmtId="0" fontId="0" fillId="8" borderId="61" xfId="0" applyFill="1" applyBorder="1" applyAlignment="1">
      <alignment horizontal="left" vertical="top" wrapText="1"/>
    </xf>
    <xf numFmtId="0" fontId="0" fillId="8" borderId="62" xfId="0" applyFill="1" applyBorder="1" applyAlignment="1">
      <alignment horizontal="left" vertical="top" wrapText="1"/>
    </xf>
    <xf numFmtId="0" fontId="4" fillId="3" borderId="45"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59" xfId="0" applyFont="1" applyFill="1" applyBorder="1" applyAlignment="1">
      <alignment horizontal="center" vertical="center"/>
    </xf>
    <xf numFmtId="0" fontId="25" fillId="27" borderId="72" xfId="0" applyFont="1" applyFill="1" applyBorder="1" applyAlignment="1">
      <alignment horizontal="center" vertical="center"/>
    </xf>
    <xf numFmtId="0" fontId="25" fillId="27" borderId="73" xfId="0" applyFont="1" applyFill="1" applyBorder="1" applyAlignment="1">
      <alignment horizontal="center" vertical="center"/>
    </xf>
    <xf numFmtId="0" fontId="25" fillId="27" borderId="75" xfId="0" applyFont="1" applyFill="1" applyBorder="1" applyAlignment="1">
      <alignment horizontal="center" vertical="center"/>
    </xf>
    <xf numFmtId="0" fontId="25" fillId="27" borderId="0" xfId="0" applyFont="1" applyFill="1" applyAlignment="1">
      <alignment horizontal="center" vertical="center"/>
    </xf>
    <xf numFmtId="0" fontId="25" fillId="27" borderId="77" xfId="0" applyFont="1" applyFill="1" applyBorder="1" applyAlignment="1">
      <alignment horizontal="center" vertical="center"/>
    </xf>
    <xf numFmtId="0" fontId="25" fillId="27" borderId="78" xfId="0" applyFont="1" applyFill="1" applyBorder="1" applyAlignment="1">
      <alignment horizontal="center" vertical="center"/>
    </xf>
    <xf numFmtId="0" fontId="27" fillId="27" borderId="73" xfId="0" applyFont="1" applyFill="1" applyBorder="1" applyAlignment="1">
      <alignment horizontal="center" vertical="center"/>
    </xf>
    <xf numFmtId="0" fontId="27" fillId="27" borderId="0" xfId="0" applyFont="1" applyFill="1" applyAlignment="1">
      <alignment horizontal="center" vertical="center"/>
    </xf>
    <xf numFmtId="0" fontId="0" fillId="27" borderId="0" xfId="0" applyFill="1" applyAlignment="1">
      <alignment horizontal="right"/>
    </xf>
    <xf numFmtId="0" fontId="0" fillId="27" borderId="76" xfId="0" applyFill="1" applyBorder="1" applyAlignment="1">
      <alignment horizontal="right"/>
    </xf>
    <xf numFmtId="0" fontId="0" fillId="27" borderId="78" xfId="0" applyFill="1" applyBorder="1" applyAlignment="1">
      <alignment horizontal="right"/>
    </xf>
    <xf numFmtId="0" fontId="0" fillId="27" borderId="79" xfId="0" applyFill="1" applyBorder="1" applyAlignment="1">
      <alignment horizontal="right"/>
    </xf>
    <xf numFmtId="0" fontId="0" fillId="6" borderId="58" xfId="0" applyFill="1" applyBorder="1" applyAlignment="1">
      <alignment horizontal="left" vertical="top" wrapText="1"/>
    </xf>
    <xf numFmtId="0" fontId="0" fillId="6" borderId="67" xfId="0" applyFill="1" applyBorder="1" applyAlignment="1">
      <alignment horizontal="left" vertical="top" wrapText="1"/>
    </xf>
    <xf numFmtId="0" fontId="0" fillId="6" borderId="57" xfId="0" applyFill="1" applyBorder="1" applyAlignment="1">
      <alignment horizontal="left" vertical="top" wrapText="1"/>
    </xf>
    <xf numFmtId="0" fontId="0" fillId="6" borderId="68" xfId="0" applyFill="1" applyBorder="1" applyAlignment="1">
      <alignment horizontal="left" vertical="top" wrapText="1"/>
    </xf>
    <xf numFmtId="0" fontId="0" fillId="6" borderId="61" xfId="0" applyFill="1" applyBorder="1" applyAlignment="1">
      <alignment horizontal="left" vertical="top" wrapText="1"/>
    </xf>
    <xf numFmtId="0" fontId="1" fillId="6" borderId="48" xfId="0" applyFont="1" applyFill="1" applyBorder="1" applyAlignment="1">
      <alignment horizontal="left" vertical="center" wrapText="1"/>
    </xf>
    <xf numFmtId="0" fontId="1" fillId="6" borderId="69" xfId="0" applyFont="1" applyFill="1" applyBorder="1" applyAlignment="1">
      <alignment horizontal="left" vertical="center" wrapText="1"/>
    </xf>
    <xf numFmtId="0" fontId="4" fillId="2" borderId="45"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59" xfId="0" applyFont="1" applyFill="1" applyBorder="1" applyAlignment="1">
      <alignment horizontal="center" vertical="center"/>
    </xf>
    <xf numFmtId="0" fontId="0" fillId="6" borderId="62" xfId="0" applyFill="1" applyBorder="1" applyAlignment="1">
      <alignment horizontal="left" vertical="top" wrapText="1"/>
    </xf>
    <xf numFmtId="0" fontId="1" fillId="6" borderId="60" xfId="0" applyFont="1" applyFill="1" applyBorder="1" applyAlignment="1">
      <alignment horizontal="left" vertical="center" wrapText="1"/>
    </xf>
    <xf numFmtId="0" fontId="0" fillId="0" borderId="9" xfId="0" applyBorder="1" applyAlignment="1">
      <alignment horizontal="left" vertical="top"/>
    </xf>
    <xf numFmtId="0" fontId="0" fillId="0" borderId="6" xfId="0" applyBorder="1" applyAlignment="1">
      <alignment horizontal="left" vertical="top"/>
    </xf>
    <xf numFmtId="0" fontId="0" fillId="0" borderId="4" xfId="0" applyBorder="1" applyAlignment="1">
      <alignment horizontal="left" vertical="top"/>
    </xf>
    <xf numFmtId="0" fontId="1" fillId="15" borderId="17" xfId="0" applyFont="1" applyFill="1" applyBorder="1" applyAlignment="1">
      <alignment horizontal="left" vertical="top"/>
    </xf>
    <xf numFmtId="0" fontId="1" fillId="15" borderId="18" xfId="0" applyFont="1" applyFill="1" applyBorder="1" applyAlignment="1">
      <alignment horizontal="left" vertical="top"/>
    </xf>
    <xf numFmtId="0" fontId="1" fillId="15" borderId="16" xfId="0" applyFont="1" applyFill="1" applyBorder="1" applyAlignment="1">
      <alignment horizontal="left" vertical="top"/>
    </xf>
    <xf numFmtId="0" fontId="0" fillId="0" borderId="13" xfId="0" applyBorder="1" applyAlignment="1">
      <alignment horizontal="left" vertical="top"/>
    </xf>
    <xf numFmtId="0" fontId="0" fillId="0" borderId="15" xfId="0" applyBorder="1" applyAlignment="1">
      <alignment horizontal="left" vertical="top"/>
    </xf>
    <xf numFmtId="0" fontId="1" fillId="14" borderId="16" xfId="0" applyFont="1" applyFill="1" applyBorder="1" applyAlignment="1">
      <alignment horizontal="left" vertical="top"/>
    </xf>
    <xf numFmtId="0" fontId="1" fillId="14" borderId="17" xfId="0" applyFont="1" applyFill="1" applyBorder="1" applyAlignment="1">
      <alignment horizontal="left" vertical="top"/>
    </xf>
    <xf numFmtId="0" fontId="1" fillId="14" borderId="18" xfId="0" applyFont="1" applyFill="1" applyBorder="1" applyAlignment="1">
      <alignment horizontal="left" vertical="top"/>
    </xf>
    <xf numFmtId="0" fontId="0" fillId="0" borderId="60" xfId="0" applyBorder="1" applyAlignment="1">
      <alignment horizontal="left" vertical="top"/>
    </xf>
    <xf numFmtId="0" fontId="0" fillId="0" borderId="61" xfId="0" applyBorder="1" applyAlignment="1">
      <alignment horizontal="left" vertical="top"/>
    </xf>
    <xf numFmtId="0" fontId="0" fillId="0" borderId="62" xfId="0" applyBorder="1" applyAlignment="1">
      <alignment horizontal="left" vertical="top"/>
    </xf>
    <xf numFmtId="0" fontId="1" fillId="16" borderId="16" xfId="0" applyFont="1" applyFill="1" applyBorder="1" applyAlignment="1">
      <alignment horizontal="left" vertical="top"/>
    </xf>
    <xf numFmtId="0" fontId="1" fillId="16" borderId="17" xfId="0" applyFont="1" applyFill="1" applyBorder="1" applyAlignment="1">
      <alignment horizontal="left" vertical="top"/>
    </xf>
    <xf numFmtId="0" fontId="1" fillId="16" borderId="18" xfId="0" applyFont="1" applyFill="1" applyBorder="1" applyAlignment="1">
      <alignment horizontal="left" vertical="top"/>
    </xf>
    <xf numFmtId="0" fontId="16" fillId="24" borderId="72" xfId="0" applyFont="1" applyFill="1" applyBorder="1" applyAlignment="1">
      <alignment horizontal="center" vertical="center"/>
    </xf>
    <xf numFmtId="0" fontId="16" fillId="24" borderId="73" xfId="0" applyFont="1" applyFill="1" applyBorder="1" applyAlignment="1">
      <alignment horizontal="center" vertical="center"/>
    </xf>
    <xf numFmtId="0" fontId="16" fillId="24" borderId="74" xfId="0" applyFont="1" applyFill="1" applyBorder="1" applyAlignment="1">
      <alignment horizontal="center" vertical="center"/>
    </xf>
    <xf numFmtId="0" fontId="16" fillId="24" borderId="75" xfId="0" applyFont="1" applyFill="1" applyBorder="1" applyAlignment="1">
      <alignment horizontal="center" vertical="center"/>
    </xf>
    <xf numFmtId="0" fontId="16" fillId="24" borderId="0" xfId="0" applyFont="1" applyFill="1" applyAlignment="1">
      <alignment horizontal="center" vertical="center"/>
    </xf>
    <xf numFmtId="0" fontId="16" fillId="24" borderId="76" xfId="0" applyFont="1" applyFill="1" applyBorder="1" applyAlignment="1">
      <alignment horizontal="center" vertical="center"/>
    </xf>
    <xf numFmtId="0" fontId="0" fillId="0" borderId="5"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0" fillId="0" borderId="70"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3" xfId="0" applyBorder="1" applyAlignment="1">
      <alignment horizontal="left"/>
    </xf>
    <xf numFmtId="0" fontId="1" fillId="17" borderId="16" xfId="0" applyFont="1" applyFill="1" applyBorder="1" applyAlignment="1">
      <alignment horizontal="left" vertical="top"/>
    </xf>
    <xf numFmtId="0" fontId="1" fillId="17" borderId="17" xfId="0" applyFont="1" applyFill="1" applyBorder="1" applyAlignment="1">
      <alignment horizontal="left" vertical="top"/>
    </xf>
    <xf numFmtId="0" fontId="1" fillId="17" borderId="18" xfId="0" applyFont="1" applyFill="1" applyBorder="1" applyAlignment="1">
      <alignment horizontal="left" vertical="top"/>
    </xf>
    <xf numFmtId="0" fontId="2" fillId="8" borderId="51" xfId="0" applyFont="1" applyFill="1" applyBorder="1" applyAlignment="1">
      <alignment horizontal="left" vertical="center"/>
    </xf>
    <xf numFmtId="0" fontId="2" fillId="8" borderId="50" xfId="0" applyFont="1" applyFill="1" applyBorder="1" applyAlignment="1">
      <alignment horizontal="left" vertical="center"/>
    </xf>
    <xf numFmtId="0" fontId="2" fillId="8" borderId="53" xfId="0" applyFont="1" applyFill="1" applyBorder="1" applyAlignment="1">
      <alignment horizontal="left" vertical="center"/>
    </xf>
    <xf numFmtId="0" fontId="2" fillId="8" borderId="43" xfId="0" applyFont="1" applyFill="1" applyBorder="1" applyAlignment="1">
      <alignment horizontal="left" vertical="center"/>
    </xf>
    <xf numFmtId="0" fontId="3" fillId="11" borderId="55" xfId="0" applyFont="1" applyFill="1" applyBorder="1" applyAlignment="1">
      <alignment horizontal="left" vertical="top" wrapText="1"/>
    </xf>
    <xf numFmtId="0" fontId="3" fillId="11" borderId="44" xfId="0" applyFont="1" applyFill="1" applyBorder="1" applyAlignment="1">
      <alignment horizontal="left" vertical="top" wrapText="1"/>
    </xf>
    <xf numFmtId="0" fontId="3" fillId="11" borderId="56" xfId="0" applyFont="1" applyFill="1" applyBorder="1" applyAlignment="1">
      <alignment horizontal="left" vertical="top" wrapText="1"/>
    </xf>
    <xf numFmtId="0" fontId="2" fillId="7" borderId="50" xfId="0" applyFont="1" applyFill="1" applyBorder="1" applyAlignment="1">
      <alignment horizontal="left" vertical="center"/>
    </xf>
    <xf numFmtId="0" fontId="2" fillId="7" borderId="52" xfId="0" applyFont="1" applyFill="1" applyBorder="1" applyAlignment="1">
      <alignment horizontal="left" vertical="center"/>
    </xf>
    <xf numFmtId="0" fontId="2" fillId="7" borderId="43" xfId="0" applyFont="1" applyFill="1" applyBorder="1" applyAlignment="1">
      <alignment horizontal="left" vertical="center"/>
    </xf>
    <xf numFmtId="0" fontId="2" fillId="7" borderId="54" xfId="0" applyFont="1" applyFill="1" applyBorder="1" applyAlignment="1">
      <alignment horizontal="left" vertical="center"/>
    </xf>
    <xf numFmtId="0" fontId="3" fillId="12" borderId="55" xfId="0" applyFont="1" applyFill="1" applyBorder="1" applyAlignment="1">
      <alignment horizontal="left" vertical="top" wrapText="1"/>
    </xf>
    <xf numFmtId="0" fontId="3" fillId="12" borderId="44" xfId="0" applyFont="1" applyFill="1" applyBorder="1" applyAlignment="1">
      <alignment horizontal="left" vertical="top" wrapText="1"/>
    </xf>
    <xf numFmtId="0" fontId="3" fillId="12" borderId="56" xfId="0" applyFont="1" applyFill="1" applyBorder="1" applyAlignment="1">
      <alignment horizontal="left" vertical="top" wrapText="1"/>
    </xf>
    <xf numFmtId="0" fontId="2" fillId="8" borderId="52" xfId="0" applyFont="1" applyFill="1" applyBorder="1" applyAlignment="1">
      <alignment horizontal="left" vertical="center"/>
    </xf>
    <xf numFmtId="0" fontId="2" fillId="8" borderId="54" xfId="0" applyFont="1" applyFill="1" applyBorder="1" applyAlignment="1">
      <alignment horizontal="left" vertical="center"/>
    </xf>
    <xf numFmtId="0" fontId="5" fillId="4" borderId="33" xfId="0" applyFont="1" applyFill="1" applyBorder="1" applyAlignment="1">
      <alignment horizontal="left" vertical="center"/>
    </xf>
    <xf numFmtId="0" fontId="5" fillId="4" borderId="34" xfId="0" applyFont="1" applyFill="1" applyBorder="1" applyAlignment="1">
      <alignment horizontal="left" vertical="center"/>
    </xf>
    <xf numFmtId="0" fontId="5" fillId="4" borderId="0" xfId="0" applyFont="1" applyFill="1" applyAlignment="1">
      <alignment horizontal="left" vertical="center"/>
    </xf>
    <xf numFmtId="0" fontId="5" fillId="4" borderId="36" xfId="0" applyFont="1" applyFill="1" applyBorder="1" applyAlignment="1">
      <alignment horizontal="left" vertical="center"/>
    </xf>
    <xf numFmtId="0" fontId="5" fillId="4" borderId="38" xfId="0" applyFont="1" applyFill="1" applyBorder="1" applyAlignment="1">
      <alignment horizontal="left" vertical="center"/>
    </xf>
    <xf numFmtId="0" fontId="5" fillId="4" borderId="39" xfId="0" applyFont="1" applyFill="1" applyBorder="1" applyAlignment="1">
      <alignment horizontal="left" vertical="center"/>
    </xf>
    <xf numFmtId="0" fontId="2" fillId="7" borderId="51" xfId="0" applyFont="1" applyFill="1" applyBorder="1" applyAlignment="1">
      <alignment horizontal="left" vertical="center"/>
    </xf>
    <xf numFmtId="0" fontId="2" fillId="7" borderId="53" xfId="0" applyFont="1" applyFill="1" applyBorder="1" applyAlignment="1">
      <alignment horizontal="left" vertical="center"/>
    </xf>
    <xf numFmtId="0" fontId="2" fillId="6" borderId="51" xfId="0" applyFont="1" applyFill="1" applyBorder="1" applyAlignment="1">
      <alignment horizontal="left" vertical="center"/>
    </xf>
    <xf numFmtId="0" fontId="2" fillId="6" borderId="50" xfId="0" applyFont="1" applyFill="1" applyBorder="1" applyAlignment="1">
      <alignment horizontal="left" vertical="center"/>
    </xf>
    <xf numFmtId="0" fontId="2" fillId="6" borderId="53" xfId="0" applyFont="1" applyFill="1" applyBorder="1" applyAlignment="1">
      <alignment horizontal="left" vertical="center"/>
    </xf>
    <xf numFmtId="0" fontId="2" fillId="6" borderId="43" xfId="0" applyFont="1" applyFill="1" applyBorder="1" applyAlignment="1">
      <alignment horizontal="left" vertical="center"/>
    </xf>
    <xf numFmtId="0" fontId="5" fillId="3" borderId="33" xfId="0" applyFont="1" applyFill="1" applyBorder="1" applyAlignment="1">
      <alignment horizontal="left" vertical="center"/>
    </xf>
    <xf numFmtId="0" fontId="5" fillId="3" borderId="34" xfId="0" applyFont="1" applyFill="1" applyBorder="1" applyAlignment="1">
      <alignment horizontal="left" vertical="center"/>
    </xf>
    <xf numFmtId="0" fontId="5" fillId="3" borderId="0" xfId="0" applyFont="1" applyFill="1" applyAlignment="1">
      <alignment horizontal="left" vertical="center"/>
    </xf>
    <xf numFmtId="0" fontId="5" fillId="3" borderId="36" xfId="0" applyFont="1" applyFill="1" applyBorder="1" applyAlignment="1">
      <alignment horizontal="left" vertical="center"/>
    </xf>
    <xf numFmtId="0" fontId="5" fillId="3" borderId="38" xfId="0" applyFont="1" applyFill="1" applyBorder="1" applyAlignment="1">
      <alignment horizontal="left" vertical="center"/>
    </xf>
    <xf numFmtId="0" fontId="5" fillId="3" borderId="39" xfId="0" applyFont="1" applyFill="1" applyBorder="1" applyAlignment="1">
      <alignment horizontal="left" vertical="center"/>
    </xf>
    <xf numFmtId="0" fontId="3" fillId="10" borderId="55" xfId="0" applyFont="1" applyFill="1" applyBorder="1" applyAlignment="1">
      <alignment horizontal="left" vertical="top" wrapText="1"/>
    </xf>
    <xf numFmtId="0" fontId="3" fillId="10" borderId="44" xfId="0" applyFont="1" applyFill="1" applyBorder="1" applyAlignment="1">
      <alignment horizontal="left" vertical="top" wrapText="1"/>
    </xf>
    <xf numFmtId="0" fontId="3" fillId="10" borderId="56" xfId="0" applyFont="1" applyFill="1" applyBorder="1" applyAlignment="1">
      <alignment horizontal="left" vertical="top" wrapText="1"/>
    </xf>
    <xf numFmtId="0" fontId="7" fillId="6" borderId="50" xfId="0" applyFont="1" applyFill="1" applyBorder="1" applyAlignment="1">
      <alignment horizontal="left" vertical="center"/>
    </xf>
    <xf numFmtId="0" fontId="7" fillId="6" borderId="52" xfId="0" applyFont="1" applyFill="1" applyBorder="1" applyAlignment="1">
      <alignment horizontal="left" vertical="center"/>
    </xf>
    <xf numFmtId="0" fontId="7" fillId="6" borderId="43" xfId="0" applyFont="1" applyFill="1" applyBorder="1" applyAlignment="1">
      <alignment horizontal="left" vertical="center"/>
    </xf>
    <xf numFmtId="0" fontId="7" fillId="6" borderId="54" xfId="0" applyFont="1" applyFill="1" applyBorder="1" applyAlignment="1">
      <alignment horizontal="left" vertical="center"/>
    </xf>
    <xf numFmtId="0" fontId="3" fillId="10" borderId="55" xfId="0" applyFont="1" applyFill="1" applyBorder="1" applyAlignment="1">
      <alignment horizontal="center" vertical="top" wrapText="1"/>
    </xf>
    <xf numFmtId="0" fontId="3" fillId="10" borderId="44" xfId="0" applyFont="1" applyFill="1" applyBorder="1" applyAlignment="1">
      <alignment horizontal="center" vertical="top" wrapText="1"/>
    </xf>
    <xf numFmtId="0" fontId="3" fillId="10" borderId="56" xfId="0" applyFont="1" applyFill="1" applyBorder="1" applyAlignment="1">
      <alignment horizontal="center" vertical="top" wrapText="1"/>
    </xf>
    <xf numFmtId="0" fontId="6" fillId="2" borderId="33" xfId="0" applyFont="1" applyFill="1" applyBorder="1" applyAlignment="1">
      <alignment horizontal="left" vertical="center"/>
    </xf>
    <xf numFmtId="0" fontId="6" fillId="2" borderId="34" xfId="0" applyFont="1" applyFill="1" applyBorder="1" applyAlignment="1">
      <alignment horizontal="left" vertical="center"/>
    </xf>
    <xf numFmtId="0" fontId="6" fillId="2" borderId="0" xfId="0" applyFont="1" applyFill="1" applyAlignment="1">
      <alignment horizontal="left" vertical="center"/>
    </xf>
    <xf numFmtId="0" fontId="6" fillId="2" borderId="36" xfId="0" applyFont="1" applyFill="1" applyBorder="1" applyAlignment="1">
      <alignment horizontal="left" vertical="center"/>
    </xf>
    <xf numFmtId="0" fontId="6" fillId="2" borderId="38" xfId="0" applyFont="1" applyFill="1" applyBorder="1" applyAlignment="1">
      <alignment horizontal="left" vertical="center"/>
    </xf>
    <xf numFmtId="0" fontId="6" fillId="2" borderId="39" xfId="0" applyFont="1" applyFill="1" applyBorder="1" applyAlignment="1">
      <alignment horizontal="left" vertical="center"/>
    </xf>
    <xf numFmtId="0" fontId="25" fillId="27" borderId="73" xfId="0" applyFont="1" applyFill="1" applyBorder="1" applyAlignment="1">
      <alignment horizontal="left" vertical="center"/>
    </xf>
    <xf numFmtId="0" fontId="25" fillId="27" borderId="0" xfId="0" applyFont="1" applyFill="1" applyAlignment="1">
      <alignment horizontal="left" vertical="center"/>
    </xf>
    <xf numFmtId="0" fontId="25" fillId="27" borderId="78" xfId="0" applyFont="1" applyFill="1" applyBorder="1" applyAlignment="1">
      <alignment horizontal="left" vertical="center"/>
    </xf>
    <xf numFmtId="0" fontId="3" fillId="13" borderId="55" xfId="0" applyFont="1" applyFill="1" applyBorder="1" applyAlignment="1">
      <alignment horizontal="left" vertical="top" wrapText="1"/>
    </xf>
    <xf numFmtId="0" fontId="3" fillId="13" borderId="44" xfId="0" applyFont="1" applyFill="1" applyBorder="1" applyAlignment="1">
      <alignment horizontal="left" vertical="top" wrapText="1"/>
    </xf>
    <xf numFmtId="0" fontId="3" fillId="13" borderId="56" xfId="0" applyFont="1" applyFill="1" applyBorder="1" applyAlignment="1">
      <alignment horizontal="left" vertical="top" wrapText="1"/>
    </xf>
    <xf numFmtId="0" fontId="2" fillId="9" borderId="50" xfId="0" applyFont="1" applyFill="1" applyBorder="1" applyAlignment="1">
      <alignment horizontal="left" vertical="center"/>
    </xf>
    <xf numFmtId="0" fontId="2" fillId="9" borderId="52" xfId="0" applyFont="1" applyFill="1" applyBorder="1" applyAlignment="1">
      <alignment horizontal="left" vertical="center"/>
    </xf>
    <xf numFmtId="0" fontId="2" fillId="9" borderId="43" xfId="0" applyFont="1" applyFill="1" applyBorder="1" applyAlignment="1">
      <alignment horizontal="left" vertical="center"/>
    </xf>
    <xf numFmtId="0" fontId="2" fillId="9" borderId="54" xfId="0" applyFont="1" applyFill="1" applyBorder="1" applyAlignment="1">
      <alignment horizontal="left" vertical="center"/>
    </xf>
    <xf numFmtId="0" fontId="2" fillId="9" borderId="51" xfId="0" applyFont="1" applyFill="1" applyBorder="1" applyAlignment="1">
      <alignment horizontal="left" vertical="center"/>
    </xf>
    <xf numFmtId="0" fontId="2" fillId="9" borderId="53" xfId="0" applyFont="1" applyFill="1" applyBorder="1" applyAlignment="1">
      <alignment horizontal="left" vertical="center"/>
    </xf>
    <xf numFmtId="0" fontId="5" fillId="5" borderId="32" xfId="0" applyFont="1" applyFill="1" applyBorder="1" applyAlignment="1">
      <alignment horizontal="left" vertical="center"/>
    </xf>
    <xf numFmtId="0" fontId="5" fillId="5" borderId="33" xfId="0" applyFont="1" applyFill="1" applyBorder="1" applyAlignment="1">
      <alignment horizontal="left" vertical="center"/>
    </xf>
    <xf numFmtId="0" fontId="5" fillId="5" borderId="35" xfId="0" applyFont="1" applyFill="1" applyBorder="1" applyAlignment="1">
      <alignment horizontal="left" vertical="center"/>
    </xf>
    <xf numFmtId="0" fontId="5" fillId="5" borderId="0" xfId="0" applyFont="1" applyFill="1" applyAlignment="1">
      <alignment horizontal="left" vertical="center"/>
    </xf>
    <xf numFmtId="0" fontId="5" fillId="5" borderId="37" xfId="0" applyFont="1" applyFill="1" applyBorder="1" applyAlignment="1">
      <alignment horizontal="left" vertical="center"/>
    </xf>
    <xf numFmtId="0" fontId="5" fillId="5" borderId="38" xfId="0" applyFont="1" applyFill="1" applyBorder="1" applyAlignment="1">
      <alignment horizontal="left" vertical="center"/>
    </xf>
    <xf numFmtId="0" fontId="5" fillId="5" borderId="34" xfId="0" applyFont="1" applyFill="1" applyBorder="1" applyAlignment="1">
      <alignment horizontal="left" vertical="center"/>
    </xf>
    <xf numFmtId="0" fontId="5" fillId="5" borderId="36" xfId="0" applyFont="1" applyFill="1" applyBorder="1" applyAlignment="1">
      <alignment horizontal="left" vertical="center"/>
    </xf>
    <xf numFmtId="0" fontId="5" fillId="5" borderId="39" xfId="0" applyFont="1" applyFill="1" applyBorder="1" applyAlignment="1">
      <alignment horizontal="left" vertical="center"/>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35" xfId="0" applyFont="1" applyFill="1" applyBorder="1" applyAlignment="1">
      <alignment horizontal="left" vertical="center"/>
    </xf>
    <xf numFmtId="0" fontId="5" fillId="2" borderId="0" xfId="0" applyFont="1" applyFill="1" applyAlignment="1">
      <alignment horizontal="left" vertical="center"/>
    </xf>
    <xf numFmtId="0" fontId="5" fillId="2" borderId="37" xfId="0" applyFont="1" applyFill="1" applyBorder="1" applyAlignment="1">
      <alignment horizontal="left" vertical="center"/>
    </xf>
    <xf numFmtId="0" fontId="5" fillId="2" borderId="38" xfId="0" applyFont="1" applyFill="1" applyBorder="1" applyAlignment="1">
      <alignment horizontal="left" vertical="center"/>
    </xf>
    <xf numFmtId="0" fontId="5" fillId="3" borderId="32" xfId="0" applyFont="1" applyFill="1" applyBorder="1" applyAlignment="1">
      <alignment horizontal="left" vertical="center"/>
    </xf>
    <xf numFmtId="0" fontId="5" fillId="3" borderId="35" xfId="0" applyFont="1" applyFill="1" applyBorder="1" applyAlignment="1">
      <alignment horizontal="left" vertical="center"/>
    </xf>
    <xf numFmtId="0" fontId="5" fillId="3" borderId="37" xfId="0" applyFont="1" applyFill="1" applyBorder="1" applyAlignment="1">
      <alignment horizontal="left" vertical="center"/>
    </xf>
    <xf numFmtId="0" fontId="5" fillId="4" borderId="32" xfId="0" applyFont="1" applyFill="1" applyBorder="1" applyAlignment="1">
      <alignment horizontal="left" vertical="center"/>
    </xf>
    <xf numFmtId="0" fontId="5" fillId="4" borderId="35" xfId="0" applyFont="1" applyFill="1" applyBorder="1" applyAlignment="1">
      <alignment horizontal="left" vertical="center"/>
    </xf>
    <xf numFmtId="0" fontId="5" fillId="4" borderId="37" xfId="0" applyFont="1" applyFill="1" applyBorder="1" applyAlignment="1">
      <alignment horizontal="left" vertical="center"/>
    </xf>
    <xf numFmtId="0" fontId="40" fillId="19" borderId="102" xfId="0" applyFont="1" applyFill="1" applyBorder="1" applyAlignment="1">
      <alignment horizontal="center"/>
    </xf>
    <xf numFmtId="0" fontId="1" fillId="20" borderId="47" xfId="0" applyFont="1" applyFill="1" applyBorder="1" applyAlignment="1">
      <alignment horizontal="center" vertical="center" wrapText="1"/>
    </xf>
    <xf numFmtId="0" fontId="1" fillId="20" borderId="42" xfId="0" applyFont="1" applyFill="1" applyBorder="1" applyAlignment="1">
      <alignment horizontal="center" vertical="center" wrapText="1"/>
    </xf>
    <xf numFmtId="0" fontId="1" fillId="20" borderId="46" xfId="0" applyFont="1" applyFill="1" applyBorder="1" applyAlignment="1">
      <alignment horizontal="center" vertical="center" wrapText="1"/>
    </xf>
    <xf numFmtId="0" fontId="43" fillId="18" borderId="45" xfId="0" applyFont="1" applyFill="1" applyBorder="1" applyAlignment="1">
      <alignment horizontal="center" vertical="center"/>
    </xf>
    <xf numFmtId="0" fontId="43" fillId="18" borderId="59" xfId="0" applyFont="1" applyFill="1" applyBorder="1" applyAlignment="1">
      <alignment horizontal="center" vertical="center"/>
    </xf>
    <xf numFmtId="0" fontId="1" fillId="18" borderId="33" xfId="0" applyFont="1" applyFill="1" applyBorder="1" applyAlignment="1">
      <alignment horizontal="center" vertical="center"/>
    </xf>
    <xf numFmtId="0" fontId="1" fillId="18" borderId="34" xfId="0" applyFont="1" applyFill="1" applyBorder="1" applyAlignment="1">
      <alignment horizontal="center" vertical="center"/>
    </xf>
    <xf numFmtId="0" fontId="1" fillId="18" borderId="38" xfId="0" applyFont="1" applyFill="1" applyBorder="1" applyAlignment="1">
      <alignment horizontal="center" vertical="center"/>
    </xf>
    <xf numFmtId="0" fontId="1" fillId="18" borderId="39" xfId="0" applyFont="1" applyFill="1" applyBorder="1" applyAlignment="1">
      <alignment horizontal="center" vertical="center"/>
    </xf>
    <xf numFmtId="0" fontId="1" fillId="18" borderId="47" xfId="0" applyFont="1" applyFill="1" applyBorder="1" applyAlignment="1">
      <alignment horizontal="center"/>
    </xf>
    <xf numFmtId="0" fontId="1" fillId="18" borderId="42" xfId="0" applyFont="1" applyFill="1" applyBorder="1" applyAlignment="1">
      <alignment horizontal="center"/>
    </xf>
    <xf numFmtId="0" fontId="1" fillId="18" borderId="46" xfId="0" applyFont="1" applyFill="1" applyBorder="1" applyAlignment="1">
      <alignment horizontal="center"/>
    </xf>
    <xf numFmtId="0" fontId="0" fillId="0" borderId="63" xfId="0" applyBorder="1" applyAlignment="1">
      <alignment horizontal="left" vertical="center" wrapText="1"/>
    </xf>
    <xf numFmtId="0" fontId="0" fillId="0" borderId="64"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4" fillId="3" borderId="45" xfId="0" applyFont="1" applyFill="1" applyBorder="1" applyAlignment="1">
      <alignment horizontal="left" vertical="center"/>
    </xf>
    <xf numFmtId="0" fontId="4" fillId="3" borderId="59" xfId="0" applyFont="1" applyFill="1" applyBorder="1" applyAlignment="1">
      <alignment horizontal="left" vertical="center"/>
    </xf>
    <xf numFmtId="0" fontId="4" fillId="2" borderId="45" xfId="0" applyFont="1" applyFill="1" applyBorder="1" applyAlignment="1">
      <alignment horizontal="left" vertical="center"/>
    </xf>
    <xf numFmtId="0" fontId="4" fillId="2" borderId="59" xfId="0" applyFont="1" applyFill="1" applyBorder="1" applyAlignment="1">
      <alignment horizontal="left" vertical="center"/>
    </xf>
    <xf numFmtId="0" fontId="0" fillId="0" borderId="65" xfId="0" applyBorder="1" applyAlignment="1">
      <alignment horizontal="center" vertical="center"/>
    </xf>
    <xf numFmtId="0" fontId="0" fillId="0" borderId="27" xfId="0" applyBorder="1" applyAlignment="1">
      <alignment horizontal="center" vertical="center"/>
    </xf>
    <xf numFmtId="0" fontId="0" fillId="0" borderId="87" xfId="0" applyBorder="1" applyAlignment="1">
      <alignment horizontal="center" vertical="center"/>
    </xf>
    <xf numFmtId="0" fontId="0" fillId="0" borderId="31" xfId="0" applyBorder="1" applyAlignment="1">
      <alignment horizontal="center" vertical="center"/>
    </xf>
    <xf numFmtId="0" fontId="0" fillId="0" borderId="11" xfId="0" applyBorder="1" applyAlignment="1">
      <alignment horizontal="center" vertical="center"/>
    </xf>
    <xf numFmtId="0" fontId="14" fillId="0" borderId="83" xfId="0" applyFont="1" applyBorder="1" applyAlignment="1">
      <alignment horizontal="center" vertical="center"/>
    </xf>
    <xf numFmtId="0" fontId="14" fillId="0" borderId="23" xfId="0" applyFont="1" applyBorder="1" applyAlignment="1">
      <alignment horizontal="center" vertical="center"/>
    </xf>
    <xf numFmtId="0" fontId="0" fillId="0" borderId="1" xfId="0"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45" xfId="0" applyBorder="1" applyAlignment="1">
      <alignment horizontal="center" vertical="center"/>
    </xf>
    <xf numFmtId="0" fontId="0" fillId="0" borderId="8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11" fillId="7" borderId="65" xfId="0" applyFont="1" applyFill="1" applyBorder="1" applyAlignment="1">
      <alignment horizontal="left" vertical="center" wrapText="1"/>
    </xf>
    <xf numFmtId="0" fontId="11" fillId="7" borderId="59" xfId="0" applyFont="1" applyFill="1" applyBorder="1" applyAlignment="1">
      <alignment horizontal="left" vertical="center" wrapText="1"/>
    </xf>
    <xf numFmtId="0" fontId="11" fillId="7" borderId="27" xfId="0" applyFont="1" applyFill="1" applyBorder="1" applyAlignment="1">
      <alignment horizontal="left" vertical="center" wrapText="1"/>
    </xf>
    <xf numFmtId="0" fontId="11" fillId="7" borderId="45" xfId="0" applyFont="1" applyFill="1" applyBorder="1" applyAlignment="1">
      <alignment horizontal="left" vertical="center" wrapText="1"/>
    </xf>
    <xf numFmtId="0" fontId="11" fillId="6" borderId="65" xfId="0" applyFont="1" applyFill="1" applyBorder="1" applyAlignment="1">
      <alignment horizontal="left" vertical="center" wrapText="1"/>
    </xf>
    <xf numFmtId="0" fontId="11" fillId="6" borderId="59" xfId="0" applyFont="1" applyFill="1" applyBorder="1" applyAlignment="1">
      <alignment horizontal="left" vertical="center" wrapText="1"/>
    </xf>
    <xf numFmtId="0" fontId="14" fillId="0" borderId="49" xfId="0" applyFont="1" applyBorder="1" applyAlignment="1">
      <alignment horizontal="center" vertical="center"/>
    </xf>
    <xf numFmtId="0" fontId="11" fillId="6" borderId="27" xfId="0" applyFont="1" applyFill="1" applyBorder="1" applyAlignment="1">
      <alignment horizontal="left" vertical="center" wrapText="1"/>
    </xf>
    <xf numFmtId="0" fontId="11" fillId="6" borderId="45" xfId="0" applyFont="1" applyFill="1" applyBorder="1" applyAlignment="1">
      <alignment horizontal="left" vertical="center" wrapText="1"/>
    </xf>
    <xf numFmtId="0" fontId="0" fillId="0" borderId="12" xfId="0" applyBorder="1" applyAlignment="1">
      <alignment horizontal="center" vertical="center"/>
    </xf>
    <xf numFmtId="0" fontId="11" fillId="9" borderId="65" xfId="0" applyFont="1" applyFill="1" applyBorder="1" applyAlignment="1">
      <alignment horizontal="left" vertical="center" wrapText="1"/>
    </xf>
    <xf numFmtId="0" fontId="11" fillId="9" borderId="59" xfId="0" applyFont="1" applyFill="1" applyBorder="1" applyAlignment="1">
      <alignment horizontal="left" vertical="center" wrapText="1"/>
    </xf>
    <xf numFmtId="0" fontId="11" fillId="9" borderId="66" xfId="0" applyFont="1" applyFill="1" applyBorder="1" applyAlignment="1">
      <alignment horizontal="left" vertical="center" wrapText="1"/>
    </xf>
    <xf numFmtId="0" fontId="11" fillId="9" borderId="27" xfId="0" applyFont="1" applyFill="1" applyBorder="1" applyAlignment="1">
      <alignment horizontal="left" vertical="center" wrapText="1"/>
    </xf>
    <xf numFmtId="0" fontId="11" fillId="8" borderId="65" xfId="0" applyFont="1" applyFill="1" applyBorder="1" applyAlignment="1">
      <alignment horizontal="left" vertical="center" wrapText="1"/>
    </xf>
    <xf numFmtId="0" fontId="11" fillId="8" borderId="59" xfId="0" applyFont="1" applyFill="1" applyBorder="1" applyAlignment="1">
      <alignment horizontal="left" vertical="center" wrapText="1"/>
    </xf>
    <xf numFmtId="0" fontId="11" fillId="8" borderId="27" xfId="0" applyFont="1" applyFill="1" applyBorder="1" applyAlignment="1">
      <alignment horizontal="left" vertical="center" wrapText="1"/>
    </xf>
    <xf numFmtId="0" fontId="11" fillId="8" borderId="45" xfId="0" applyFont="1" applyFill="1" applyBorder="1" applyAlignment="1">
      <alignment horizontal="left" vertical="center" wrapText="1"/>
    </xf>
    <xf numFmtId="0" fontId="4" fillId="5" borderId="24" xfId="0" applyFont="1" applyFill="1" applyBorder="1" applyAlignment="1">
      <alignment horizontal="left" vertical="center"/>
    </xf>
    <xf numFmtId="0" fontId="4" fillId="5" borderId="26" xfId="0" applyFont="1" applyFill="1" applyBorder="1" applyAlignment="1">
      <alignment horizontal="left" vertical="center"/>
    </xf>
    <xf numFmtId="0" fontId="4" fillId="4" borderId="45" xfId="0" applyFont="1" applyFill="1" applyBorder="1" applyAlignment="1">
      <alignment horizontal="left" vertical="center"/>
    </xf>
    <xf numFmtId="0" fontId="4" fillId="4" borderId="66" xfId="0" applyFont="1" applyFill="1" applyBorder="1" applyAlignment="1">
      <alignment horizontal="lef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7" borderId="0" xfId="0" applyFill="1" applyAlignment="1">
      <alignment horizontal="right" vertical="center"/>
    </xf>
    <xf numFmtId="0" fontId="0" fillId="27" borderId="76" xfId="0" applyFill="1" applyBorder="1" applyAlignment="1">
      <alignment horizontal="right" vertical="center"/>
    </xf>
    <xf numFmtId="0" fontId="9" fillId="0" borderId="45" xfId="0" applyFont="1" applyBorder="1" applyAlignment="1">
      <alignment horizontal="center" vertical="center"/>
    </xf>
    <xf numFmtId="0" fontId="9" fillId="0" borderId="59" xfId="0" applyFont="1" applyBorder="1" applyAlignment="1">
      <alignment horizontal="center" vertical="center"/>
    </xf>
    <xf numFmtId="0" fontId="9" fillId="0" borderId="58" xfId="0" applyFont="1" applyBorder="1" applyAlignment="1">
      <alignment horizontal="center" vertical="center"/>
    </xf>
    <xf numFmtId="0" fontId="9" fillId="0" borderId="62" xfId="0" applyFont="1" applyBorder="1" applyAlignment="1">
      <alignment horizontal="center" vertical="center"/>
    </xf>
    <xf numFmtId="0" fontId="9" fillId="0" borderId="57" xfId="0" applyFont="1" applyBorder="1" applyAlignment="1">
      <alignment horizontal="center" vertical="center"/>
    </xf>
    <xf numFmtId="0" fontId="9" fillId="0" borderId="61" xfId="0" applyFont="1" applyBorder="1" applyAlignment="1">
      <alignment horizontal="center" vertical="center"/>
    </xf>
    <xf numFmtId="0" fontId="28" fillId="27" borderId="73" xfId="0" applyFont="1" applyFill="1" applyBorder="1" applyAlignment="1">
      <alignment horizontal="center" vertical="center"/>
    </xf>
    <xf numFmtId="0" fontId="28" fillId="27" borderId="0" xfId="0" applyFont="1" applyFill="1" applyAlignment="1">
      <alignment horizontal="center" vertical="center"/>
    </xf>
    <xf numFmtId="0" fontId="1" fillId="27" borderId="78" xfId="0" applyFont="1" applyFill="1" applyBorder="1" applyAlignment="1">
      <alignment horizontal="right"/>
    </xf>
    <xf numFmtId="0" fontId="0" fillId="27" borderId="78" xfId="0" applyFill="1" applyBorder="1" applyAlignment="1">
      <alignment horizontal="right" vertical="center"/>
    </xf>
    <xf numFmtId="0" fontId="0" fillId="27" borderId="79" xfId="0" applyFill="1" applyBorder="1" applyAlignment="1">
      <alignment horizontal="right" vertical="center"/>
    </xf>
    <xf numFmtId="0" fontId="12" fillId="21" borderId="32" xfId="0" applyFont="1" applyFill="1" applyBorder="1" applyAlignment="1">
      <alignment horizontal="left" vertical="center"/>
    </xf>
    <xf numFmtId="0" fontId="12" fillId="21" borderId="35" xfId="0" applyFont="1" applyFill="1" applyBorder="1" applyAlignment="1">
      <alignment horizontal="left" vertical="center"/>
    </xf>
    <xf numFmtId="0" fontId="12" fillId="21" borderId="37" xfId="0" applyFont="1" applyFill="1" applyBorder="1" applyAlignment="1">
      <alignment horizontal="left" vertical="center"/>
    </xf>
    <xf numFmtId="0" fontId="13" fillId="0" borderId="49" xfId="0" applyFont="1" applyBorder="1" applyAlignment="1">
      <alignment horizontal="center" vertical="center"/>
    </xf>
    <xf numFmtId="0" fontId="13" fillId="0" borderId="84" xfId="0" applyFont="1" applyBorder="1" applyAlignment="1">
      <alignment horizontal="center" vertical="center"/>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1" fillId="19" borderId="32" xfId="0" applyFont="1" applyFill="1" applyBorder="1" applyAlignment="1">
      <alignment horizontal="center" vertical="center"/>
    </xf>
    <xf numFmtId="0" fontId="1" fillId="19" borderId="33" xfId="0" applyFont="1" applyFill="1" applyBorder="1" applyAlignment="1">
      <alignment horizontal="center" vertical="center"/>
    </xf>
    <xf numFmtId="0" fontId="1" fillId="19" borderId="34" xfId="0" applyFont="1" applyFill="1" applyBorder="1" applyAlignment="1">
      <alignment horizontal="center" vertical="center"/>
    </xf>
    <xf numFmtId="0" fontId="1" fillId="0" borderId="97" xfId="0" applyFont="1" applyBorder="1" applyAlignment="1">
      <alignment horizontal="left" vertical="center"/>
    </xf>
    <xf numFmtId="0" fontId="1" fillId="0" borderId="98" xfId="0" applyFont="1" applyBorder="1" applyAlignment="1">
      <alignment horizontal="left" vertical="center"/>
    </xf>
    <xf numFmtId="0" fontId="0" fillId="0" borderId="98" xfId="0" applyBorder="1" applyAlignment="1">
      <alignment horizontal="left" vertical="center" wrapText="1"/>
    </xf>
    <xf numFmtId="0" fontId="0" fillId="0" borderId="95" xfId="0" applyBorder="1" applyAlignment="1">
      <alignment horizontal="left" vertical="center" wrapText="1"/>
    </xf>
    <xf numFmtId="0" fontId="1" fillId="0" borderId="99" xfId="0" applyFont="1" applyBorder="1" applyAlignment="1">
      <alignment horizontal="left" vertical="center"/>
    </xf>
    <xf numFmtId="0" fontId="1" fillId="0" borderId="100" xfId="0" applyFont="1" applyBorder="1" applyAlignment="1">
      <alignment horizontal="left" vertical="center"/>
    </xf>
    <xf numFmtId="0" fontId="0" fillId="0" borderId="100" xfId="0" applyBorder="1" applyAlignment="1">
      <alignment horizontal="left" vertical="center" wrapText="1"/>
    </xf>
    <xf numFmtId="0" fontId="0" fillId="0" borderId="96" xfId="0" applyBorder="1" applyAlignment="1">
      <alignment horizontal="left" vertical="center" wrapText="1"/>
    </xf>
    <xf numFmtId="0" fontId="30" fillId="18" borderId="47" xfId="0" applyFont="1" applyFill="1" applyBorder="1" applyAlignment="1">
      <alignment horizontal="center" vertical="center"/>
    </xf>
    <xf numFmtId="0" fontId="30" fillId="18" borderId="42" xfId="0" applyFont="1" applyFill="1" applyBorder="1" applyAlignment="1">
      <alignment horizontal="center" vertical="center"/>
    </xf>
    <xf numFmtId="0" fontId="30" fillId="18" borderId="46" xfId="0" applyFont="1" applyFill="1" applyBorder="1" applyAlignment="1">
      <alignment horizontal="center" vertical="center"/>
    </xf>
    <xf numFmtId="0" fontId="1" fillId="0" borderId="97" xfId="0" applyFont="1" applyBorder="1" applyAlignment="1">
      <alignment horizontal="left" vertical="center" wrapText="1"/>
    </xf>
    <xf numFmtId="0" fontId="1" fillId="0" borderId="98" xfId="0" applyFont="1" applyBorder="1" applyAlignment="1">
      <alignment horizontal="left" vertical="center" wrapText="1"/>
    </xf>
    <xf numFmtId="0" fontId="1" fillId="0" borderId="95" xfId="0" applyFont="1" applyBorder="1" applyAlignment="1">
      <alignment horizontal="left" vertical="center" wrapText="1"/>
    </xf>
    <xf numFmtId="0" fontId="44" fillId="0" borderId="101" xfId="0" applyFont="1" applyBorder="1" applyAlignment="1">
      <alignment horizontal="center" vertical="center"/>
    </xf>
    <xf numFmtId="0" fontId="44" fillId="0" borderId="103" xfId="0" applyFont="1" applyBorder="1" applyAlignment="1">
      <alignment horizontal="center" vertical="center"/>
    </xf>
    <xf numFmtId="14" fontId="0" fillId="0" borderId="1" xfId="0" applyNumberFormat="1" applyBorder="1" applyAlignment="1">
      <alignment horizontal="left" vertical="top"/>
    </xf>
    <xf numFmtId="14" fontId="0" fillId="0" borderId="3" xfId="0" applyNumberFormat="1" applyBorder="1" applyAlignment="1">
      <alignment horizontal="left" vertical="top"/>
    </xf>
    <xf numFmtId="0" fontId="31" fillId="0" borderId="0" xfId="0" applyFont="1" applyAlignment="1">
      <alignment horizontal="center" vertical="center"/>
    </xf>
    <xf numFmtId="0" fontId="8" fillId="0" borderId="0" xfId="0" applyFont="1" applyAlignment="1">
      <alignment horizontal="center" vertical="center"/>
    </xf>
    <xf numFmtId="0" fontId="33" fillId="18" borderId="32" xfId="0" applyFont="1" applyFill="1" applyBorder="1" applyAlignment="1">
      <alignment horizontal="center" vertical="top"/>
    </xf>
    <xf numFmtId="0" fontId="33" fillId="18" borderId="33" xfId="0" applyFont="1" applyFill="1" applyBorder="1" applyAlignment="1">
      <alignment horizontal="center" vertical="top"/>
    </xf>
    <xf numFmtId="0" fontId="33" fillId="18" borderId="34" xfId="0" applyFont="1" applyFill="1" applyBorder="1" applyAlignment="1">
      <alignment horizontal="center" vertical="top"/>
    </xf>
    <xf numFmtId="0" fontId="1" fillId="19" borderId="47" xfId="0" applyFont="1" applyFill="1" applyBorder="1" applyAlignment="1">
      <alignment horizontal="center" vertical="top"/>
    </xf>
    <xf numFmtId="0" fontId="1" fillId="19" borderId="42" xfId="0" applyFont="1" applyFill="1" applyBorder="1" applyAlignment="1">
      <alignment horizontal="center" vertical="top"/>
    </xf>
    <xf numFmtId="0" fontId="1" fillId="19" borderId="46" xfId="0" applyFont="1" applyFill="1" applyBorder="1" applyAlignment="1">
      <alignment horizontal="center" vertical="top"/>
    </xf>
    <xf numFmtId="0" fontId="0" fillId="0" borderId="0" xfId="0" applyAlignment="1">
      <alignment horizontal="center"/>
    </xf>
    <xf numFmtId="0" fontId="0" fillId="11" borderId="0" xfId="0" applyFill="1" applyAlignment="1">
      <alignment horizontal="center"/>
    </xf>
    <xf numFmtId="0" fontId="35" fillId="7" borderId="0" xfId="0" applyFont="1" applyFill="1" applyAlignment="1">
      <alignment horizontal="left"/>
    </xf>
    <xf numFmtId="0" fontId="35" fillId="9" borderId="0" xfId="0" applyFont="1" applyFill="1" applyAlignment="1">
      <alignment horizontal="left"/>
    </xf>
    <xf numFmtId="0" fontId="35" fillId="8" borderId="0" xfId="0" applyFont="1" applyFill="1" applyAlignment="1">
      <alignment horizontal="left"/>
    </xf>
    <xf numFmtId="0" fontId="0" fillId="12" borderId="0" xfId="0" applyFill="1" applyAlignment="1">
      <alignment horizontal="center"/>
    </xf>
    <xf numFmtId="0" fontId="0" fillId="13" borderId="0" xfId="0" applyFill="1" applyAlignment="1">
      <alignment horizontal="center"/>
    </xf>
    <xf numFmtId="0" fontId="34" fillId="0" borderId="103" xfId="0" applyFont="1" applyBorder="1" applyAlignment="1">
      <alignment horizontal="left" vertical="center"/>
    </xf>
    <xf numFmtId="0" fontId="33" fillId="18" borderId="47" xfId="0" applyFont="1" applyFill="1" applyBorder="1" applyAlignment="1">
      <alignment horizontal="center"/>
    </xf>
    <xf numFmtId="0" fontId="33" fillId="18" borderId="42" xfId="0" applyFont="1" applyFill="1" applyBorder="1" applyAlignment="1">
      <alignment horizontal="center"/>
    </xf>
    <xf numFmtId="0" fontId="33" fillId="18" borderId="46" xfId="0" applyFont="1" applyFill="1" applyBorder="1" applyAlignment="1">
      <alignment horizontal="center"/>
    </xf>
    <xf numFmtId="0" fontId="0" fillId="0" borderId="37" xfId="0" applyBorder="1" applyAlignment="1">
      <alignment horizontal="left" vertical="top"/>
    </xf>
    <xf numFmtId="0" fontId="0" fillId="0" borderId="38" xfId="0" applyBorder="1" applyAlignment="1">
      <alignment horizontal="left" vertical="top"/>
    </xf>
    <xf numFmtId="0" fontId="0" fillId="20" borderId="32" xfId="0" applyFill="1" applyBorder="1" applyAlignment="1">
      <alignment horizontal="left" vertical="top"/>
    </xf>
    <xf numFmtId="0" fontId="0" fillId="20" borderId="33" xfId="0" applyFill="1" applyBorder="1" applyAlignment="1">
      <alignment horizontal="left" vertical="top"/>
    </xf>
    <xf numFmtId="0" fontId="9" fillId="0" borderId="93" xfId="0" applyFont="1" applyBorder="1" applyAlignment="1">
      <alignment horizontal="left" vertical="top"/>
    </xf>
    <xf numFmtId="0" fontId="35" fillId="6" borderId="0" xfId="0" applyFont="1" applyFill="1" applyAlignment="1">
      <alignment horizontal="left"/>
    </xf>
    <xf numFmtId="0" fontId="0" fillId="10" borderId="0" xfId="0" applyFill="1" applyAlignment="1">
      <alignment horizontal="center"/>
    </xf>
    <xf numFmtId="0" fontId="33" fillId="18" borderId="47" xfId="0" applyFont="1" applyFill="1" applyBorder="1" applyAlignment="1">
      <alignment horizontal="center" vertical="top"/>
    </xf>
    <xf numFmtId="0" fontId="33" fillId="18" borderId="42" xfId="0" applyFont="1" applyFill="1" applyBorder="1" applyAlignment="1">
      <alignment horizontal="center" vertical="top"/>
    </xf>
    <xf numFmtId="0" fontId="33" fillId="18" borderId="46" xfId="0" applyFont="1" applyFill="1" applyBorder="1" applyAlignment="1">
      <alignment horizontal="center" vertical="top"/>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34" fillId="19" borderId="47" xfId="0" applyFont="1" applyFill="1" applyBorder="1" applyAlignment="1">
      <alignment horizontal="center"/>
    </xf>
    <xf numFmtId="0" fontId="34" fillId="19" borderId="42" xfId="0" applyFont="1" applyFill="1" applyBorder="1" applyAlignment="1">
      <alignment horizontal="center"/>
    </xf>
    <xf numFmtId="0" fontId="34" fillId="19" borderId="46" xfId="0" applyFont="1" applyFill="1" applyBorder="1" applyAlignment="1">
      <alignment horizontal="center"/>
    </xf>
    <xf numFmtId="0" fontId="35" fillId="13" borderId="0" xfId="0" applyFont="1" applyFill="1" applyAlignment="1">
      <alignment horizontal="center" vertical="top"/>
    </xf>
    <xf numFmtId="0" fontId="35" fillId="12" borderId="0" xfId="0" applyFont="1" applyFill="1" applyAlignment="1">
      <alignment horizontal="center" vertical="top"/>
    </xf>
    <xf numFmtId="0" fontId="35" fillId="11" borderId="0" xfId="0" applyFont="1" applyFill="1" applyAlignment="1">
      <alignment horizontal="center" vertical="top"/>
    </xf>
    <xf numFmtId="0" fontId="35" fillId="10" borderId="0" xfId="0" applyFont="1" applyFill="1" applyAlignment="1">
      <alignment horizontal="center" vertical="top"/>
    </xf>
    <xf numFmtId="0" fontId="36" fillId="9" borderId="0" xfId="0" applyFont="1" applyFill="1" applyAlignment="1">
      <alignment horizontal="left" vertical="top"/>
    </xf>
    <xf numFmtId="0" fontId="36" fillId="8" borderId="0" xfId="0" applyFont="1" applyFill="1" applyAlignment="1">
      <alignment horizontal="left" vertical="top"/>
    </xf>
    <xf numFmtId="0" fontId="36" fillId="7" borderId="0" xfId="0" applyFont="1" applyFill="1" applyAlignment="1">
      <alignment horizontal="left" vertical="top"/>
    </xf>
    <xf numFmtId="0" fontId="36" fillId="6" borderId="0" xfId="0" applyFont="1" applyFill="1" applyAlignment="1">
      <alignment horizontal="left" vertical="top"/>
    </xf>
    <xf numFmtId="0" fontId="1" fillId="0" borderId="92" xfId="0" applyFont="1" applyBorder="1" applyAlignment="1">
      <alignment horizontal="center" vertical="top"/>
    </xf>
    <xf numFmtId="0" fontId="34" fillId="0" borderId="103" xfId="0" applyFont="1" applyBorder="1" applyAlignment="1">
      <alignment horizontal="center" vertical="center"/>
    </xf>
    <xf numFmtId="0" fontId="0" fillId="27" borderId="38" xfId="0" applyFill="1" applyBorder="1" applyAlignment="1">
      <alignment horizontal="center" vertical="center"/>
    </xf>
    <xf numFmtId="0" fontId="0" fillId="27" borderId="39" xfId="0" applyFill="1" applyBorder="1" applyAlignment="1">
      <alignment horizontal="center" vertical="center"/>
    </xf>
    <xf numFmtId="0" fontId="0" fillId="17" borderId="42" xfId="0" applyFill="1" applyBorder="1" applyAlignment="1">
      <alignment horizontal="left" vertical="center" wrapText="1"/>
    </xf>
    <xf numFmtId="0" fontId="0" fillId="10" borderId="33" xfId="0" applyFill="1" applyBorder="1" applyAlignment="1">
      <alignment horizontal="left" vertical="center" wrapText="1"/>
    </xf>
    <xf numFmtId="0" fontId="0" fillId="16" borderId="42" xfId="0" applyFill="1" applyBorder="1" applyAlignment="1">
      <alignment horizontal="left" vertical="center" wrapText="1"/>
    </xf>
    <xf numFmtId="0" fontId="0" fillId="11" borderId="33" xfId="0" applyFill="1" applyBorder="1" applyAlignment="1">
      <alignment horizontal="left" vertical="center" wrapText="1"/>
    </xf>
    <xf numFmtId="0" fontId="0" fillId="0" borderId="0" xfId="0" applyAlignment="1">
      <alignment horizontal="center" vertical="center"/>
    </xf>
    <xf numFmtId="0" fontId="0" fillId="0" borderId="36" xfId="0" applyBorder="1" applyAlignment="1">
      <alignment horizontal="center" vertical="center"/>
    </xf>
    <xf numFmtId="0" fontId="0" fillId="27" borderId="0" xfId="0" applyFill="1" applyAlignment="1">
      <alignment horizontal="center" vertical="center"/>
    </xf>
    <xf numFmtId="0" fontId="0" fillId="27" borderId="36" xfId="0" applyFill="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27" borderId="0" xfId="0" applyFill="1" applyAlignment="1">
      <alignment horizontal="left" vertical="center" wrapText="1"/>
    </xf>
    <xf numFmtId="0" fontId="0" fillId="27" borderId="38" xfId="0" applyFill="1" applyBorder="1" applyAlignment="1">
      <alignment horizontal="left" vertical="center" wrapText="1"/>
    </xf>
    <xf numFmtId="0" fontId="0" fillId="0" borderId="38" xfId="0" applyBorder="1" applyAlignment="1">
      <alignment horizontal="left" vertical="center" wrapText="1"/>
    </xf>
    <xf numFmtId="0" fontId="0" fillId="12" borderId="33" xfId="0" applyFill="1" applyBorder="1" applyAlignment="1">
      <alignment horizontal="left" vertical="center" wrapText="1"/>
    </xf>
    <xf numFmtId="0" fontId="0" fillId="13" borderId="33" xfId="0" applyFill="1" applyBorder="1" applyAlignment="1">
      <alignment horizontal="left" vertical="center" wrapText="1"/>
    </xf>
    <xf numFmtId="0" fontId="0" fillId="14" borderId="42" xfId="0" applyFill="1" applyBorder="1" applyAlignment="1">
      <alignment horizontal="left" vertical="center" wrapText="1"/>
    </xf>
    <xf numFmtId="0" fontId="0" fillId="15" borderId="42" xfId="0" applyFill="1" applyBorder="1" applyAlignment="1">
      <alignment horizontal="left" vertical="center" wrapText="1"/>
    </xf>
    <xf numFmtId="0" fontId="0" fillId="0" borderId="139" xfId="0" applyBorder="1" applyAlignment="1">
      <alignment horizontal="left" vertical="top"/>
    </xf>
    <xf numFmtId="0" fontId="0" fillId="0" borderId="140" xfId="0" applyBorder="1" applyAlignment="1">
      <alignment horizontal="left" vertical="top"/>
    </xf>
    <xf numFmtId="0" fontId="0" fillId="0" borderId="134" xfId="0" applyBorder="1" applyAlignment="1">
      <alignment horizontal="left" wrapText="1"/>
    </xf>
    <xf numFmtId="0" fontId="0" fillId="0" borderId="135" xfId="0" applyBorder="1" applyAlignment="1">
      <alignment horizontal="left" wrapText="1"/>
    </xf>
    <xf numFmtId="0" fontId="0" fillId="0" borderId="128" xfId="0" applyBorder="1" applyAlignment="1">
      <alignment horizontal="left" vertical="top"/>
    </xf>
    <xf numFmtId="0" fontId="0" fillId="0" borderId="141" xfId="0" applyBorder="1" applyAlignment="1">
      <alignment horizontal="left" vertical="top"/>
    </xf>
    <xf numFmtId="0" fontId="0" fillId="0" borderId="137" xfId="0" applyBorder="1" applyAlignment="1">
      <alignment horizontal="left" vertical="top" wrapText="1"/>
    </xf>
    <xf numFmtId="0" fontId="0" fillId="0" borderId="138" xfId="0" applyBorder="1" applyAlignment="1">
      <alignment horizontal="left" vertical="top" wrapText="1"/>
    </xf>
    <xf numFmtId="0" fontId="55" fillId="0" borderId="139" xfId="0" applyFont="1" applyBorder="1" applyAlignment="1">
      <alignment horizontal="left" vertical="top"/>
    </xf>
    <xf numFmtId="0" fontId="55" fillId="0" borderId="140" xfId="0" applyFont="1" applyBorder="1" applyAlignment="1">
      <alignment horizontal="left" vertical="top"/>
    </xf>
    <xf numFmtId="0" fontId="1" fillId="0" borderId="125" xfId="0" applyFont="1" applyBorder="1" applyAlignment="1">
      <alignment horizontal="left"/>
    </xf>
    <xf numFmtId="0" fontId="1" fillId="0" borderId="126" xfId="0" applyFont="1" applyBorder="1" applyAlignment="1">
      <alignment horizontal="left"/>
    </xf>
    <xf numFmtId="0" fontId="0" fillId="0" borderId="133" xfId="0" applyBorder="1" applyAlignment="1">
      <alignment horizontal="left" vertical="top"/>
    </xf>
    <xf numFmtId="0" fontId="0" fillId="0" borderId="134" xfId="0" applyBorder="1" applyAlignment="1">
      <alignment horizontal="left" vertical="top"/>
    </xf>
    <xf numFmtId="0" fontId="0" fillId="0" borderId="136" xfId="0" applyBorder="1" applyAlignment="1">
      <alignment horizontal="left" vertical="top"/>
    </xf>
    <xf numFmtId="0" fontId="0" fillId="0" borderId="137" xfId="0" applyBorder="1" applyAlignment="1">
      <alignment horizontal="left" vertical="top"/>
    </xf>
    <xf numFmtId="0" fontId="54" fillId="0" borderId="0" xfId="0" applyFont="1" applyAlignment="1">
      <alignment horizontal="center"/>
    </xf>
    <xf numFmtId="0" fontId="1" fillId="30" borderId="57" xfId="0" applyFont="1" applyFill="1" applyBorder="1" applyAlignment="1">
      <alignment horizontal="center"/>
    </xf>
    <xf numFmtId="0" fontId="1" fillId="30" borderId="58" xfId="0" applyFont="1" applyFill="1" applyBorder="1" applyAlignment="1">
      <alignment horizontal="center"/>
    </xf>
    <xf numFmtId="0" fontId="1" fillId="30" borderId="49" xfId="0" applyFont="1" applyFill="1" applyBorder="1" applyAlignment="1">
      <alignment horizontal="center"/>
    </xf>
    <xf numFmtId="0" fontId="0" fillId="30" borderId="84" xfId="0" applyFill="1" applyBorder="1" applyAlignment="1">
      <alignment horizontal="center"/>
    </xf>
    <xf numFmtId="0" fontId="0" fillId="30" borderId="61" xfId="0" applyFill="1" applyBorder="1" applyAlignment="1">
      <alignment horizontal="center"/>
    </xf>
    <xf numFmtId="0" fontId="0" fillId="30" borderId="62" xfId="0" applyFill="1" applyBorder="1" applyAlignment="1">
      <alignment horizontal="center"/>
    </xf>
    <xf numFmtId="0" fontId="55" fillId="0" borderId="133" xfId="0" applyFont="1" applyBorder="1" applyAlignment="1">
      <alignment horizontal="left" vertical="top"/>
    </xf>
    <xf numFmtId="0" fontId="55" fillId="0" borderId="134" xfId="0" applyFont="1" applyBorder="1" applyAlignment="1">
      <alignment horizontal="left" vertical="top"/>
    </xf>
  </cellXfs>
  <cellStyles count="3">
    <cellStyle name="Hypertextový odkaz" xfId="2" builtinId="8"/>
    <cellStyle name="Normální" xfId="0" builtinId="0"/>
    <cellStyle name="Procenta" xfId="1" builtinId="5"/>
  </cellStyles>
  <dxfs count="108">
    <dxf>
      <font>
        <b/>
        <i val="0"/>
        <color rgb="FFC00000"/>
      </font>
    </dxf>
    <dxf>
      <font>
        <b/>
        <i val="0"/>
        <color theme="0"/>
      </font>
      <fill>
        <patternFill>
          <bgColor rgb="FFC00000"/>
        </patternFill>
      </fill>
    </dxf>
    <dxf>
      <font>
        <b val="0"/>
        <i val="0"/>
        <color auto="1"/>
      </font>
      <fill>
        <patternFill>
          <bgColor theme="0" tint="-4.9989318521683403E-2"/>
        </patternFill>
      </fill>
    </dxf>
    <dxf>
      <font>
        <color theme="0" tint="-0.14996795556505021"/>
      </font>
      <fill>
        <patternFill>
          <bgColor theme="0" tint="-0.14996795556505021"/>
        </patternFill>
      </fill>
    </dxf>
    <dxf>
      <font>
        <color theme="0" tint="-4.9989318521683403E-2"/>
      </font>
      <fill>
        <patternFill>
          <bgColor theme="0" tint="-4.9989318521683403E-2"/>
        </patternFill>
      </fill>
    </dxf>
    <dxf>
      <font>
        <color theme="5" tint="0.79998168889431442"/>
      </font>
    </dxf>
    <dxf>
      <font>
        <color theme="8" tint="0.79998168889431442"/>
      </font>
    </dxf>
    <dxf>
      <font>
        <color theme="7" tint="0.79998168889431442"/>
      </font>
    </dxf>
    <dxf>
      <font>
        <color theme="9" tint="0.79998168889431442"/>
      </font>
    </dxf>
    <dxf>
      <font>
        <color theme="0"/>
      </font>
      <fill>
        <patternFill>
          <bgColor theme="0"/>
        </patternFill>
      </fill>
      <border>
        <left/>
        <right/>
        <top/>
        <bottom/>
        <vertical/>
        <horizontal/>
      </border>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ont>
        <color theme="0"/>
      </font>
    </dxf>
    <dxf>
      <font>
        <color theme="0" tint="-0.499984740745262"/>
      </font>
      <fill>
        <patternFill>
          <bgColor theme="0" tint="-0.14996795556505021"/>
        </patternFill>
      </fill>
    </dxf>
    <dxf>
      <font>
        <color theme="0" tint="-0.499984740745262"/>
      </font>
      <fill>
        <patternFill>
          <bgColor theme="0" tint="-4.9989318521683403E-2"/>
        </patternFill>
      </fill>
    </dxf>
    <dxf>
      <font>
        <color theme="0"/>
      </font>
    </dxf>
    <dxf>
      <font>
        <color theme="0" tint="-4.9989318521683403E-2"/>
      </font>
      <fill>
        <patternFill>
          <bgColor theme="0" tint="-4.9989318521683403E-2"/>
        </patternFill>
      </fill>
    </dxf>
    <dxf>
      <fill>
        <patternFill>
          <bgColor theme="0" tint="-4.9989318521683403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1" tint="0.499984740745262"/>
      </font>
      <fill>
        <patternFill>
          <bgColor theme="0" tint="-0.24994659260841701"/>
        </patternFill>
      </fill>
    </dxf>
    <dxf>
      <font>
        <color theme="0" tint="-4.9989318521683403E-2"/>
      </font>
      <fill>
        <patternFill>
          <bgColor theme="0" tint="-4.9989318521683403E-2"/>
        </patternFill>
      </fill>
    </dxf>
    <dxf>
      <fill>
        <patternFill>
          <bgColor theme="0" tint="-4.9989318521683403E-2"/>
        </patternFill>
      </fill>
    </dxf>
    <dxf>
      <font>
        <color theme="1" tint="0.499984740745262"/>
      </font>
      <fill>
        <patternFill>
          <bgColor theme="0" tint="-0.24994659260841701"/>
        </patternFill>
      </fill>
    </dxf>
    <dxf>
      <font>
        <color theme="0" tint="-4.9989318521683403E-2"/>
      </font>
      <fill>
        <patternFill>
          <bgColor theme="0" tint="-4.9989318521683403E-2"/>
        </patternFill>
      </fill>
    </dxf>
    <dxf>
      <fill>
        <patternFill>
          <bgColor theme="0" tint="-4.9989318521683403E-2"/>
        </patternFill>
      </fill>
    </dxf>
    <dxf>
      <font>
        <color theme="1" tint="0.499984740745262"/>
      </font>
      <fill>
        <patternFill>
          <bgColor theme="0" tint="-0.24994659260841701"/>
        </patternFill>
      </fill>
    </dxf>
    <dxf>
      <border>
        <right style="thin">
          <color theme="4"/>
        </right>
        <vertical/>
        <horizontal/>
      </border>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border>
        <left/>
        <right/>
      </border>
    </dxf>
    <dxf>
      <font>
        <b/>
        <i val="0"/>
        <color rgb="FFC00000"/>
      </font>
    </dxf>
    <dxf>
      <font>
        <b/>
        <i val="0"/>
        <color theme="0"/>
      </font>
      <fill>
        <patternFill>
          <bgColor rgb="FFC00000"/>
        </patternFill>
      </fill>
    </dxf>
    <dxf>
      <font>
        <b val="0"/>
        <i val="0"/>
        <color auto="1"/>
      </font>
      <fill>
        <patternFill>
          <bgColor theme="0" tint="-4.9989318521683403E-2"/>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border>
        <left/>
        <right/>
      </border>
    </dxf>
    <dxf>
      <border>
        <left style="thin">
          <color theme="4"/>
        </left>
        <vertical/>
        <horizontal/>
      </border>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ont>
        <color theme="0" tint="-0.499984740745262"/>
      </font>
      <fill>
        <patternFill>
          <bgColor theme="9" tint="0.79998168889431442"/>
        </patternFill>
      </fill>
    </dxf>
    <dxf>
      <font>
        <color theme="0" tint="-0.499984740745262"/>
      </font>
      <fill>
        <patternFill>
          <bgColor theme="7" tint="0.79998168889431442"/>
        </patternFill>
      </fill>
    </dxf>
    <dxf>
      <font>
        <color theme="0" tint="-0.499984740745262"/>
      </font>
      <fill>
        <patternFill>
          <bgColor theme="8" tint="0.79998168889431442"/>
        </patternFill>
      </fill>
    </dxf>
    <dxf>
      <font>
        <color theme="0" tint="-0.499984740745262"/>
      </font>
      <fill>
        <patternFill>
          <bgColor theme="5" tint="0.79998168889431442"/>
        </patternFill>
      </fill>
    </dxf>
    <dxf>
      <font>
        <b/>
        <i val="0"/>
        <color theme="0" tint="-0.499984740745262"/>
      </font>
      <fill>
        <patternFill>
          <bgColor theme="9" tint="0.59996337778862885"/>
        </patternFill>
      </fill>
    </dxf>
    <dxf>
      <font>
        <b/>
        <i val="0"/>
        <color theme="0" tint="-0.499984740745262"/>
      </font>
      <fill>
        <patternFill>
          <bgColor theme="7" tint="0.59996337778862885"/>
        </patternFill>
      </fill>
    </dxf>
    <dxf>
      <font>
        <b/>
        <i val="0"/>
        <color theme="0" tint="-0.499984740745262"/>
      </font>
      <fill>
        <patternFill>
          <bgColor theme="8" tint="0.59996337778862885"/>
        </patternFill>
      </fill>
    </dxf>
    <dxf>
      <font>
        <b/>
        <i val="0"/>
        <color theme="0" tint="-0.499984740745262"/>
      </font>
      <fill>
        <patternFill>
          <bgColor theme="5" tint="0.59996337778862885"/>
        </patternFill>
      </fill>
    </dxf>
    <dxf>
      <font>
        <color theme="1" tint="0.499984740745262"/>
      </font>
    </dxf>
    <dxf>
      <font>
        <color theme="0" tint="-4.9989318521683403E-2"/>
      </font>
    </dxf>
    <dxf>
      <font>
        <b/>
        <i val="0"/>
        <color theme="0"/>
      </font>
      <fill>
        <patternFill>
          <bgColor theme="8" tint="-0.499984740745262"/>
        </patternFill>
      </fill>
    </dxf>
    <dxf>
      <font>
        <color rgb="FF92D050"/>
      </font>
      <border>
        <right style="thin">
          <color rgb="FF92D050"/>
        </right>
      </border>
    </dxf>
    <dxf>
      <font>
        <b/>
        <i val="0"/>
        <color rgb="FFC00000"/>
      </font>
    </dxf>
    <dxf>
      <font>
        <b/>
        <i val="0"/>
        <color theme="0"/>
      </font>
      <fill>
        <patternFill>
          <bgColor rgb="FFC00000"/>
        </patternFill>
      </fill>
    </dxf>
    <dxf>
      <font>
        <b val="0"/>
        <i val="0"/>
        <color auto="1"/>
      </font>
      <fill>
        <patternFill>
          <bgColor theme="0" tint="-4.9989318521683403E-2"/>
        </patternFill>
      </fill>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rgb="FFC00000"/>
      </font>
    </dxf>
    <dxf>
      <font>
        <color theme="1" tint="0.499984740745262"/>
      </font>
      <fill>
        <patternFill>
          <bgColor theme="0" tint="-0.24994659260841701"/>
        </patternFill>
      </fill>
    </dxf>
    <dxf>
      <font>
        <color theme="0" tint="-0.499984740745262"/>
      </font>
      <fill>
        <patternFill>
          <bgColor theme="0" tint="-4.9989318521683403E-2"/>
        </patternFill>
      </fill>
    </dxf>
    <dxf>
      <font>
        <b/>
        <i val="0"/>
        <color theme="1" tint="0.499984740745262"/>
      </font>
      <fill>
        <patternFill>
          <bgColor theme="0" tint="-0.14996795556505021"/>
        </patternFill>
      </fill>
    </dxf>
    <dxf>
      <font>
        <color theme="1" tint="0.499984740745262"/>
      </font>
      <fill>
        <patternFill>
          <bgColor theme="0" tint="-0.24994659260841701"/>
        </patternFill>
      </fill>
    </dxf>
    <dxf>
      <font>
        <color theme="1" tint="0.499984740745262"/>
      </font>
      <fill>
        <patternFill>
          <bgColor theme="0" tint="-0.34998626667073579"/>
        </patternFill>
      </fill>
    </dxf>
    <dxf>
      <font>
        <color theme="0" tint="-0.499984740745262"/>
      </font>
      <fill>
        <patternFill>
          <bgColor theme="0" tint="-4.9989318521683403E-2"/>
        </patternFill>
      </fill>
    </dxf>
    <dxf>
      <font>
        <b val="0"/>
        <i val="0"/>
        <color theme="1" tint="0.499984740745262"/>
      </font>
      <fill>
        <patternFill>
          <bgColor theme="0" tint="-0.14996795556505021"/>
        </patternFill>
      </fill>
    </dxf>
    <dxf>
      <font>
        <color theme="0" tint="-0.499984740745262"/>
      </font>
      <fill>
        <patternFill>
          <bgColor theme="0" tint="-4.9989318521683403E-2"/>
        </patternFill>
      </fill>
    </dxf>
    <dxf>
      <fill>
        <patternFill>
          <bgColor rgb="FFD4ECBA"/>
        </patternFill>
      </fill>
    </dxf>
    <dxf>
      <font>
        <color auto="1"/>
      </font>
      <fill>
        <patternFill>
          <bgColor rgb="FFFFC9C9"/>
        </patternFill>
      </fill>
    </dxf>
    <dxf>
      <font>
        <color rgb="FFFFC9C9"/>
      </font>
      <fill>
        <patternFill>
          <bgColor rgb="FFFFC9C9"/>
        </patternFill>
      </fill>
    </dxf>
    <dxf>
      <font>
        <color auto="1"/>
      </font>
      <fill>
        <patternFill>
          <bgColor rgb="FFFFC9C9"/>
        </patternFill>
      </fill>
    </dxf>
    <dxf>
      <font>
        <b/>
        <i val="0"/>
        <color rgb="FFC00000"/>
      </font>
    </dxf>
    <dxf>
      <font>
        <b/>
        <i val="0"/>
        <color theme="0"/>
      </font>
      <fill>
        <patternFill>
          <bgColor rgb="FFC00000"/>
        </patternFill>
      </fill>
    </dxf>
    <dxf>
      <font>
        <b val="0"/>
        <i val="0"/>
        <color auto="1"/>
      </font>
      <fill>
        <patternFill>
          <bgColor theme="0" tint="-4.9989318521683403E-2"/>
        </patternFill>
      </fill>
    </dxf>
    <dxf>
      <font>
        <color theme="1" tint="0.499984740745262"/>
      </font>
      <fill>
        <patternFill>
          <bgColor theme="9" tint="0.79998168889431442"/>
        </patternFill>
      </fill>
    </dxf>
    <dxf>
      <font>
        <color theme="1" tint="0.499984740745262"/>
      </font>
      <fill>
        <patternFill>
          <bgColor theme="7" tint="0.79998168889431442"/>
        </patternFill>
      </fill>
    </dxf>
    <dxf>
      <font>
        <color theme="1" tint="0.499984740745262"/>
      </font>
      <fill>
        <patternFill>
          <bgColor theme="8" tint="0.79998168889431442"/>
        </patternFill>
      </fill>
    </dxf>
    <dxf>
      <font>
        <color theme="1" tint="0.499984740745262"/>
      </font>
      <fill>
        <patternFill>
          <bgColor theme="5" tint="0.79998168889431442"/>
        </patternFill>
      </fill>
    </dxf>
    <dxf>
      <fill>
        <patternFill>
          <bgColor rgb="FFD4ECBA"/>
        </patternFill>
      </fill>
    </dxf>
    <dxf>
      <fill>
        <patternFill>
          <bgColor rgb="FFFFC9C9"/>
        </patternFill>
      </fill>
    </dxf>
    <dxf>
      <fill>
        <patternFill>
          <bgColor rgb="FFFFEB9C"/>
        </patternFill>
      </fill>
    </dxf>
    <dxf>
      <fill>
        <patternFill>
          <bgColor rgb="FFD4ECBA"/>
        </patternFill>
      </fill>
    </dxf>
    <dxf>
      <font>
        <color theme="0" tint="-0.499984740745262"/>
      </font>
      <fill>
        <patternFill>
          <bgColor theme="9" tint="0.79998168889431442"/>
        </patternFill>
      </fill>
    </dxf>
    <dxf>
      <font>
        <color theme="0" tint="-0.499984740745262"/>
      </font>
      <fill>
        <patternFill>
          <bgColor theme="7" tint="0.79998168889431442"/>
        </patternFill>
      </fill>
    </dxf>
    <dxf>
      <font>
        <color theme="0" tint="-0.499984740745262"/>
      </font>
      <fill>
        <patternFill>
          <bgColor theme="8" tint="0.79998168889431442"/>
        </patternFill>
      </fill>
    </dxf>
    <dxf>
      <font>
        <color theme="0" tint="-0.499984740745262"/>
      </font>
      <fill>
        <patternFill>
          <bgColor theme="5" tint="0.79998168889431442"/>
        </patternFill>
      </fill>
    </dxf>
    <dxf>
      <font>
        <b/>
        <i val="0"/>
        <color theme="0" tint="-0.499984740745262"/>
      </font>
      <fill>
        <patternFill>
          <bgColor theme="9" tint="0.59996337778862885"/>
        </patternFill>
      </fill>
    </dxf>
    <dxf>
      <font>
        <b/>
        <i val="0"/>
        <color theme="0" tint="-0.499984740745262"/>
      </font>
      <fill>
        <patternFill>
          <bgColor theme="7" tint="0.59996337778862885"/>
        </patternFill>
      </fill>
    </dxf>
    <dxf>
      <font>
        <b/>
        <i val="0"/>
        <color theme="0" tint="-0.499984740745262"/>
      </font>
      <fill>
        <patternFill>
          <bgColor theme="8" tint="0.59996337778862885"/>
        </patternFill>
      </fill>
    </dxf>
    <dxf>
      <font>
        <b/>
        <i val="0"/>
        <color theme="0" tint="-0.499984740745262"/>
      </font>
      <fill>
        <patternFill>
          <bgColor theme="5" tint="0.59996337778862885"/>
        </patternFill>
      </fill>
    </dxf>
  </dxfs>
  <tableStyles count="0" defaultTableStyle="TableStyleMedium2" defaultPivotStyle="PivotStyleLight16"/>
  <colors>
    <mruColors>
      <color rgb="FFFFC9C9"/>
      <color rgb="FFD4ECBA"/>
      <color rgb="FF638EC6"/>
      <color rgb="FFFFEB9C"/>
      <color rgb="FFFFABAB"/>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RepoData!$P$21</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RepoData!$O$22:$O$36</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RepoData!$P$22:$P$36</c:f>
              <c:numCache>
                <c:formatCode>General</c:formatCode>
                <c:ptCount val="15"/>
                <c:pt idx="0">
                  <c:v>1</c:v>
                </c:pt>
                <c:pt idx="1">
                  <c:v>2</c:v>
                </c:pt>
                <c:pt idx="2">
                  <c:v>2</c:v>
                </c:pt>
                <c:pt idx="3">
                  <c:v>3</c:v>
                </c:pt>
                <c:pt idx="4">
                  <c:v>3</c:v>
                </c:pt>
                <c:pt idx="5">
                  <c:v>2</c:v>
                </c:pt>
                <c:pt idx="6">
                  <c:v>3</c:v>
                </c:pt>
                <c:pt idx="7">
                  <c:v>2</c:v>
                </c:pt>
                <c:pt idx="8">
                  <c:v>3</c:v>
                </c:pt>
                <c:pt idx="9">
                  <c:v>3</c:v>
                </c:pt>
                <c:pt idx="10">
                  <c:v>3</c:v>
                </c:pt>
                <c:pt idx="11">
                  <c:v>2</c:v>
                </c:pt>
                <c:pt idx="12">
                  <c:v>3</c:v>
                </c:pt>
                <c:pt idx="13">
                  <c:v>4</c:v>
                </c:pt>
                <c:pt idx="14">
                  <c:v>3</c:v>
                </c:pt>
              </c:numCache>
            </c:numRef>
          </c:val>
          <c:extLst>
            <c:ext xmlns:c16="http://schemas.microsoft.com/office/drawing/2014/chart" uri="{C3380CC4-5D6E-409C-BE32-E72D297353CC}">
              <c16:uniqueId val="{00000000-5A4F-4237-9FF8-7B83B56033A9}"/>
            </c:ext>
          </c:extLst>
        </c:ser>
        <c:dLbls>
          <c:showLegendKey val="0"/>
          <c:showVal val="0"/>
          <c:showCatName val="0"/>
          <c:showSerName val="0"/>
          <c:showPercent val="0"/>
          <c:showBubbleSize val="0"/>
        </c:dLbls>
        <c:axId val="1157415279"/>
        <c:axId val="1157415759"/>
      </c:radarChart>
      <c:catAx>
        <c:axId val="115741527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759"/>
        <c:crosses val="autoZero"/>
        <c:auto val="1"/>
        <c:lblAlgn val="ctr"/>
        <c:lblOffset val="100"/>
        <c:noMultiLvlLbl val="0"/>
      </c:catAx>
      <c:valAx>
        <c:axId val="1157415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2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RepoData!$P$21</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RepoData!$O$22:$O$36</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RepoData!$P$22:$P$36</c:f>
              <c:numCache>
                <c:formatCode>General</c:formatCode>
                <c:ptCount val="15"/>
                <c:pt idx="0">
                  <c:v>1</c:v>
                </c:pt>
                <c:pt idx="1">
                  <c:v>2</c:v>
                </c:pt>
                <c:pt idx="2">
                  <c:v>2</c:v>
                </c:pt>
                <c:pt idx="3">
                  <c:v>3</c:v>
                </c:pt>
                <c:pt idx="4">
                  <c:v>3</c:v>
                </c:pt>
                <c:pt idx="5">
                  <c:v>2</c:v>
                </c:pt>
                <c:pt idx="6">
                  <c:v>3</c:v>
                </c:pt>
                <c:pt idx="7">
                  <c:v>2</c:v>
                </c:pt>
                <c:pt idx="8">
                  <c:v>3</c:v>
                </c:pt>
                <c:pt idx="9">
                  <c:v>3</c:v>
                </c:pt>
                <c:pt idx="10">
                  <c:v>3</c:v>
                </c:pt>
                <c:pt idx="11">
                  <c:v>2</c:v>
                </c:pt>
                <c:pt idx="12">
                  <c:v>3</c:v>
                </c:pt>
                <c:pt idx="13">
                  <c:v>4</c:v>
                </c:pt>
                <c:pt idx="14">
                  <c:v>3</c:v>
                </c:pt>
              </c:numCache>
            </c:numRef>
          </c:val>
          <c:extLst>
            <c:ext xmlns:c16="http://schemas.microsoft.com/office/drawing/2014/chart" uri="{C3380CC4-5D6E-409C-BE32-E72D297353CC}">
              <c16:uniqueId val="{00000000-2EB2-421F-9F79-C069529CB2D4}"/>
            </c:ext>
          </c:extLst>
        </c:ser>
        <c:dLbls>
          <c:showLegendKey val="0"/>
          <c:showVal val="0"/>
          <c:showCatName val="0"/>
          <c:showSerName val="0"/>
          <c:showPercent val="0"/>
          <c:showBubbleSize val="0"/>
        </c:dLbls>
        <c:axId val="1157415279"/>
        <c:axId val="1157415759"/>
      </c:radarChart>
      <c:catAx>
        <c:axId val="115741527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759"/>
        <c:crosses val="autoZero"/>
        <c:auto val="1"/>
        <c:lblAlgn val="ctr"/>
        <c:lblOffset val="100"/>
        <c:noMultiLvlLbl val="0"/>
      </c:catAx>
      <c:valAx>
        <c:axId val="1157415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2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cs-CZ"/>
              <a:t>Maturity levels of Modules and Categories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RepoData!$P$43</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RepoData!$O$44:$O$58</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RepoData!$P$44:$P$58</c:f>
              <c:numCache>
                <c:formatCode>General</c:formatCode>
                <c:ptCount val="15"/>
                <c:pt idx="0">
                  <c:v>1</c:v>
                </c:pt>
                <c:pt idx="1">
                  <c:v>2</c:v>
                </c:pt>
                <c:pt idx="2">
                  <c:v>2</c:v>
                </c:pt>
                <c:pt idx="3">
                  <c:v>3</c:v>
                </c:pt>
                <c:pt idx="4">
                  <c:v>3</c:v>
                </c:pt>
                <c:pt idx="5">
                  <c:v>2</c:v>
                </c:pt>
                <c:pt idx="6">
                  <c:v>3</c:v>
                </c:pt>
                <c:pt idx="7">
                  <c:v>2</c:v>
                </c:pt>
                <c:pt idx="8">
                  <c:v>3</c:v>
                </c:pt>
                <c:pt idx="9">
                  <c:v>3</c:v>
                </c:pt>
                <c:pt idx="10">
                  <c:v>3</c:v>
                </c:pt>
                <c:pt idx="11">
                  <c:v>2</c:v>
                </c:pt>
                <c:pt idx="12">
                  <c:v>3</c:v>
                </c:pt>
                <c:pt idx="13">
                  <c:v>4</c:v>
                </c:pt>
                <c:pt idx="14">
                  <c:v>3</c:v>
                </c:pt>
              </c:numCache>
            </c:numRef>
          </c:val>
          <c:extLst>
            <c:ext xmlns:c16="http://schemas.microsoft.com/office/drawing/2014/chart" uri="{C3380CC4-5D6E-409C-BE32-E72D297353CC}">
              <c16:uniqueId val="{00000000-1A7E-4FE8-96EE-47B7FC3A8580}"/>
            </c:ext>
          </c:extLst>
        </c:ser>
        <c:ser>
          <c:idx val="1"/>
          <c:order val="1"/>
          <c:tx>
            <c:strRef>
              <c:f>RepoData!$Q$43</c:f>
              <c:strCache>
                <c:ptCount val="1"/>
                <c:pt idx="0">
                  <c:v>Maturity level of Modules</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RepoData!$O$44:$O$58</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RepoData!$Q$44:$Q$58</c:f>
              <c:numCache>
                <c:formatCode>General</c:formatCode>
                <c:ptCount val="15"/>
                <c:pt idx="0">
                  <c:v>2</c:v>
                </c:pt>
                <c:pt idx="1">
                  <c:v>2</c:v>
                </c:pt>
                <c:pt idx="2">
                  <c:v>2</c:v>
                </c:pt>
                <c:pt idx="3">
                  <c:v>2</c:v>
                </c:pt>
                <c:pt idx="4">
                  <c:v>2</c:v>
                </c:pt>
                <c:pt idx="5">
                  <c:v>2</c:v>
                </c:pt>
                <c:pt idx="6">
                  <c:v>2</c:v>
                </c:pt>
                <c:pt idx="7">
                  <c:v>2</c:v>
                </c:pt>
                <c:pt idx="8">
                  <c:v>3</c:v>
                </c:pt>
                <c:pt idx="9">
                  <c:v>3</c:v>
                </c:pt>
                <c:pt idx="10">
                  <c:v>3</c:v>
                </c:pt>
                <c:pt idx="11">
                  <c:v>3</c:v>
                </c:pt>
                <c:pt idx="12">
                  <c:v>3</c:v>
                </c:pt>
                <c:pt idx="13">
                  <c:v>3</c:v>
                </c:pt>
                <c:pt idx="14">
                  <c:v>3</c:v>
                </c:pt>
              </c:numCache>
            </c:numRef>
          </c:val>
          <c:extLst>
            <c:ext xmlns:c16="http://schemas.microsoft.com/office/drawing/2014/chart" uri="{C3380CC4-5D6E-409C-BE32-E72D297353CC}">
              <c16:uniqueId val="{00000001-1A7E-4FE8-96EE-47B7FC3A8580}"/>
            </c:ext>
          </c:extLst>
        </c:ser>
        <c:dLbls>
          <c:showLegendKey val="0"/>
          <c:showVal val="0"/>
          <c:showCatName val="0"/>
          <c:showSerName val="0"/>
          <c:showPercent val="0"/>
          <c:showBubbleSize val="0"/>
        </c:dLbls>
        <c:axId val="902020208"/>
        <c:axId val="902033648"/>
      </c:radarChart>
      <c:catAx>
        <c:axId val="9020202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902033648"/>
        <c:crosses val="autoZero"/>
        <c:auto val="1"/>
        <c:lblAlgn val="ctr"/>
        <c:lblOffset val="100"/>
        <c:noMultiLvlLbl val="0"/>
      </c:catAx>
      <c:valAx>
        <c:axId val="902033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9020202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RepoData!$C$43</c:f>
              <c:strCache>
                <c:ptCount val="1"/>
                <c:pt idx="0">
                  <c:v>Maturity level of Modules</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RepoData!$B$44:$B$47</c:f>
              <c:strCache>
                <c:ptCount val="4"/>
                <c:pt idx="0">
                  <c:v>1. Governance</c:v>
                </c:pt>
                <c:pt idx="1">
                  <c:v>2. Management</c:v>
                </c:pt>
                <c:pt idx="2">
                  <c:v>3. Operations</c:v>
                </c:pt>
                <c:pt idx="3">
                  <c:v>4. Resources</c:v>
                </c:pt>
              </c:strCache>
            </c:strRef>
          </c:cat>
          <c:val>
            <c:numRef>
              <c:f>RepoData!$C$44:$C$47</c:f>
              <c:numCache>
                <c:formatCode>General</c:formatCode>
                <c:ptCount val="4"/>
                <c:pt idx="0">
                  <c:v>2</c:v>
                </c:pt>
                <c:pt idx="1">
                  <c:v>2</c:v>
                </c:pt>
                <c:pt idx="2">
                  <c:v>3</c:v>
                </c:pt>
                <c:pt idx="3">
                  <c:v>3</c:v>
                </c:pt>
              </c:numCache>
            </c:numRef>
          </c:val>
          <c:extLst>
            <c:ext xmlns:c16="http://schemas.microsoft.com/office/drawing/2014/chart" uri="{C3380CC4-5D6E-409C-BE32-E72D297353CC}">
              <c16:uniqueId val="{00000000-9D01-4916-A434-F253A3E6067E}"/>
            </c:ext>
          </c:extLst>
        </c:ser>
        <c:dLbls>
          <c:showLegendKey val="0"/>
          <c:showVal val="0"/>
          <c:showCatName val="0"/>
          <c:showSerName val="0"/>
          <c:showPercent val="0"/>
          <c:showBubbleSize val="0"/>
        </c:dLbls>
        <c:axId val="241575455"/>
        <c:axId val="241574495"/>
      </c:radarChart>
      <c:catAx>
        <c:axId val="24157545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4495"/>
        <c:crosses val="autoZero"/>
        <c:auto val="1"/>
        <c:lblAlgn val="ctr"/>
        <c:lblOffset val="100"/>
        <c:noMultiLvlLbl val="0"/>
      </c:catAx>
      <c:valAx>
        <c:axId val="24157449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5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RepoData!$P$21</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RepoData!$O$22:$O$36</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RepoData!$P$22:$P$36</c:f>
              <c:numCache>
                <c:formatCode>General</c:formatCode>
                <c:ptCount val="15"/>
                <c:pt idx="0">
                  <c:v>1</c:v>
                </c:pt>
                <c:pt idx="1">
                  <c:v>2</c:v>
                </c:pt>
                <c:pt idx="2">
                  <c:v>2</c:v>
                </c:pt>
                <c:pt idx="3">
                  <c:v>3</c:v>
                </c:pt>
                <c:pt idx="4">
                  <c:v>3</c:v>
                </c:pt>
                <c:pt idx="5">
                  <c:v>2</c:v>
                </c:pt>
                <c:pt idx="6">
                  <c:v>3</c:v>
                </c:pt>
                <c:pt idx="7">
                  <c:v>2</c:v>
                </c:pt>
                <c:pt idx="8">
                  <c:v>3</c:v>
                </c:pt>
                <c:pt idx="9">
                  <c:v>3</c:v>
                </c:pt>
                <c:pt idx="10">
                  <c:v>3</c:v>
                </c:pt>
                <c:pt idx="11">
                  <c:v>2</c:v>
                </c:pt>
                <c:pt idx="12">
                  <c:v>3</c:v>
                </c:pt>
                <c:pt idx="13">
                  <c:v>4</c:v>
                </c:pt>
                <c:pt idx="14">
                  <c:v>3</c:v>
                </c:pt>
              </c:numCache>
            </c:numRef>
          </c:val>
          <c:extLst>
            <c:ext xmlns:c16="http://schemas.microsoft.com/office/drawing/2014/chart" uri="{C3380CC4-5D6E-409C-BE32-E72D297353CC}">
              <c16:uniqueId val="{00000000-4D88-45D1-BF35-19FDDD7D27AA}"/>
            </c:ext>
          </c:extLst>
        </c:ser>
        <c:dLbls>
          <c:showLegendKey val="0"/>
          <c:showVal val="0"/>
          <c:showCatName val="0"/>
          <c:showSerName val="0"/>
          <c:showPercent val="0"/>
          <c:showBubbleSize val="0"/>
        </c:dLbls>
        <c:axId val="1157415279"/>
        <c:axId val="1157415759"/>
      </c:radarChart>
      <c:catAx>
        <c:axId val="115741527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759"/>
        <c:crosses val="autoZero"/>
        <c:auto val="1"/>
        <c:lblAlgn val="ctr"/>
        <c:lblOffset val="100"/>
        <c:noMultiLvlLbl val="0"/>
      </c:catAx>
      <c:valAx>
        <c:axId val="1157415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2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RepoData!$C$43</c:f>
              <c:strCache>
                <c:ptCount val="1"/>
                <c:pt idx="0">
                  <c:v>Maturity level of Modules</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RepoData!$B$44:$B$47</c:f>
              <c:strCache>
                <c:ptCount val="4"/>
                <c:pt idx="0">
                  <c:v>1. Governance</c:v>
                </c:pt>
                <c:pt idx="1">
                  <c:v>2. Management</c:v>
                </c:pt>
                <c:pt idx="2">
                  <c:v>3. Operations</c:v>
                </c:pt>
                <c:pt idx="3">
                  <c:v>4. Resources</c:v>
                </c:pt>
              </c:strCache>
            </c:strRef>
          </c:cat>
          <c:val>
            <c:numRef>
              <c:f>RepoData!$C$44:$C$47</c:f>
              <c:numCache>
                <c:formatCode>General</c:formatCode>
                <c:ptCount val="4"/>
                <c:pt idx="0">
                  <c:v>2</c:v>
                </c:pt>
                <c:pt idx="1">
                  <c:v>2</c:v>
                </c:pt>
                <c:pt idx="2">
                  <c:v>3</c:v>
                </c:pt>
                <c:pt idx="3">
                  <c:v>3</c:v>
                </c:pt>
              </c:numCache>
            </c:numRef>
          </c:val>
          <c:extLst>
            <c:ext xmlns:c16="http://schemas.microsoft.com/office/drawing/2014/chart" uri="{C3380CC4-5D6E-409C-BE32-E72D297353CC}">
              <c16:uniqueId val="{00000000-8B2E-4347-8929-1C30AB9052A9}"/>
            </c:ext>
          </c:extLst>
        </c:ser>
        <c:dLbls>
          <c:showLegendKey val="0"/>
          <c:showVal val="0"/>
          <c:showCatName val="0"/>
          <c:showSerName val="0"/>
          <c:showPercent val="0"/>
          <c:showBubbleSize val="0"/>
        </c:dLbls>
        <c:axId val="241575455"/>
        <c:axId val="241574495"/>
      </c:radarChart>
      <c:catAx>
        <c:axId val="24157545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4495"/>
        <c:crosses val="autoZero"/>
        <c:auto val="1"/>
        <c:lblAlgn val="ctr"/>
        <c:lblOffset val="100"/>
        <c:noMultiLvlLbl val="0"/>
      </c:catAx>
      <c:valAx>
        <c:axId val="24157449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5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RepoData!$P$21</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RepoData!$O$22:$O$36</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RepoData!$P$22:$P$36</c:f>
              <c:numCache>
                <c:formatCode>General</c:formatCode>
                <c:ptCount val="15"/>
                <c:pt idx="0">
                  <c:v>1</c:v>
                </c:pt>
                <c:pt idx="1">
                  <c:v>2</c:v>
                </c:pt>
                <c:pt idx="2">
                  <c:v>2</c:v>
                </c:pt>
                <c:pt idx="3">
                  <c:v>3</c:v>
                </c:pt>
                <c:pt idx="4">
                  <c:v>3</c:v>
                </c:pt>
                <c:pt idx="5">
                  <c:v>2</c:v>
                </c:pt>
                <c:pt idx="6">
                  <c:v>3</c:v>
                </c:pt>
                <c:pt idx="7">
                  <c:v>2</c:v>
                </c:pt>
                <c:pt idx="8">
                  <c:v>3</c:v>
                </c:pt>
                <c:pt idx="9">
                  <c:v>3</c:v>
                </c:pt>
                <c:pt idx="10">
                  <c:v>3</c:v>
                </c:pt>
                <c:pt idx="11">
                  <c:v>2</c:v>
                </c:pt>
                <c:pt idx="12">
                  <c:v>3</c:v>
                </c:pt>
                <c:pt idx="13">
                  <c:v>4</c:v>
                </c:pt>
                <c:pt idx="14">
                  <c:v>3</c:v>
                </c:pt>
              </c:numCache>
            </c:numRef>
          </c:val>
          <c:extLst>
            <c:ext xmlns:c16="http://schemas.microsoft.com/office/drawing/2014/chart" uri="{C3380CC4-5D6E-409C-BE32-E72D297353CC}">
              <c16:uniqueId val="{00000000-92C7-4372-9E43-FBA281035029}"/>
            </c:ext>
          </c:extLst>
        </c:ser>
        <c:dLbls>
          <c:showLegendKey val="0"/>
          <c:showVal val="0"/>
          <c:showCatName val="0"/>
          <c:showSerName val="0"/>
          <c:showPercent val="0"/>
          <c:showBubbleSize val="0"/>
        </c:dLbls>
        <c:axId val="1157415279"/>
        <c:axId val="1157415759"/>
      </c:radarChart>
      <c:catAx>
        <c:axId val="115741527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759"/>
        <c:crosses val="autoZero"/>
        <c:auto val="1"/>
        <c:lblAlgn val="ctr"/>
        <c:lblOffset val="100"/>
        <c:noMultiLvlLbl val="0"/>
      </c:catAx>
      <c:valAx>
        <c:axId val="1157415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74152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RepoData!$C$43</c:f>
              <c:strCache>
                <c:ptCount val="1"/>
                <c:pt idx="0">
                  <c:v>Maturity level of Modules</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RepoData!$B$44:$B$47</c:f>
              <c:strCache>
                <c:ptCount val="4"/>
                <c:pt idx="0">
                  <c:v>1. Governance</c:v>
                </c:pt>
                <c:pt idx="1">
                  <c:v>2. Management</c:v>
                </c:pt>
                <c:pt idx="2">
                  <c:v>3. Operations</c:v>
                </c:pt>
                <c:pt idx="3">
                  <c:v>4. Resources</c:v>
                </c:pt>
              </c:strCache>
            </c:strRef>
          </c:cat>
          <c:val>
            <c:numRef>
              <c:f>RepoData!$C$44:$C$47</c:f>
              <c:numCache>
                <c:formatCode>General</c:formatCode>
                <c:ptCount val="4"/>
                <c:pt idx="0">
                  <c:v>2</c:v>
                </c:pt>
                <c:pt idx="1">
                  <c:v>2</c:v>
                </c:pt>
                <c:pt idx="2">
                  <c:v>3</c:v>
                </c:pt>
                <c:pt idx="3">
                  <c:v>3</c:v>
                </c:pt>
              </c:numCache>
            </c:numRef>
          </c:val>
          <c:extLst>
            <c:ext xmlns:c16="http://schemas.microsoft.com/office/drawing/2014/chart" uri="{C3380CC4-5D6E-409C-BE32-E72D297353CC}">
              <c16:uniqueId val="{00000000-EB4D-43A5-AEE1-DBCB7C3113DF}"/>
            </c:ext>
          </c:extLst>
        </c:ser>
        <c:dLbls>
          <c:showLegendKey val="0"/>
          <c:showVal val="0"/>
          <c:showCatName val="0"/>
          <c:showSerName val="0"/>
          <c:showPercent val="0"/>
          <c:showBubbleSize val="0"/>
        </c:dLbls>
        <c:axId val="241575455"/>
        <c:axId val="241574495"/>
      </c:radarChart>
      <c:catAx>
        <c:axId val="24157545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4495"/>
        <c:crosses val="autoZero"/>
        <c:auto val="1"/>
        <c:lblAlgn val="ctr"/>
        <c:lblOffset val="100"/>
        <c:noMultiLvlLbl val="0"/>
      </c:catAx>
      <c:valAx>
        <c:axId val="24157449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5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RepoData!$C$21</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RepoData!$B$22:$B$36</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RepoData!$C$22:$C$36</c:f>
              <c:numCache>
                <c:formatCode>General</c:formatCode>
                <c:ptCount val="15"/>
                <c:pt idx="0">
                  <c:v>1</c:v>
                </c:pt>
                <c:pt idx="1">
                  <c:v>2</c:v>
                </c:pt>
                <c:pt idx="2">
                  <c:v>2</c:v>
                </c:pt>
                <c:pt idx="3">
                  <c:v>3</c:v>
                </c:pt>
                <c:pt idx="4">
                  <c:v>3</c:v>
                </c:pt>
                <c:pt idx="5">
                  <c:v>2</c:v>
                </c:pt>
                <c:pt idx="6">
                  <c:v>3</c:v>
                </c:pt>
                <c:pt idx="7">
                  <c:v>2</c:v>
                </c:pt>
                <c:pt idx="8">
                  <c:v>3</c:v>
                </c:pt>
                <c:pt idx="9">
                  <c:v>3</c:v>
                </c:pt>
                <c:pt idx="10">
                  <c:v>3</c:v>
                </c:pt>
                <c:pt idx="11">
                  <c:v>2</c:v>
                </c:pt>
                <c:pt idx="12">
                  <c:v>3</c:v>
                </c:pt>
                <c:pt idx="13">
                  <c:v>4</c:v>
                </c:pt>
                <c:pt idx="14">
                  <c:v>3</c:v>
                </c:pt>
              </c:numCache>
            </c:numRef>
          </c:val>
          <c:extLst>
            <c:ext xmlns:c16="http://schemas.microsoft.com/office/drawing/2014/chart" uri="{C3380CC4-5D6E-409C-BE32-E72D297353CC}">
              <c16:uniqueId val="{00000000-5E0A-4AD3-AA74-4C3F8C3FE314}"/>
            </c:ext>
          </c:extLst>
        </c:ser>
        <c:dLbls>
          <c:showLegendKey val="0"/>
          <c:showVal val="0"/>
          <c:showCatName val="0"/>
          <c:showSerName val="0"/>
          <c:showPercent val="0"/>
          <c:showBubbleSize val="0"/>
        </c:dLbls>
        <c:axId val="277021439"/>
        <c:axId val="277020959"/>
      </c:radarChart>
      <c:catAx>
        <c:axId val="27702143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77020959"/>
        <c:crosses val="autoZero"/>
        <c:auto val="1"/>
        <c:lblAlgn val="ctr"/>
        <c:lblOffset val="100"/>
        <c:noMultiLvlLbl val="0"/>
      </c:catAx>
      <c:valAx>
        <c:axId val="2770209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77021439"/>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RepoData!$C$43</c:f>
              <c:strCache>
                <c:ptCount val="1"/>
                <c:pt idx="0">
                  <c:v>Maturity level of Modules</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RepoData!$B$44:$B$47</c:f>
              <c:strCache>
                <c:ptCount val="4"/>
                <c:pt idx="0">
                  <c:v>1. Governance</c:v>
                </c:pt>
                <c:pt idx="1">
                  <c:v>2. Management</c:v>
                </c:pt>
                <c:pt idx="2">
                  <c:v>3. Operations</c:v>
                </c:pt>
                <c:pt idx="3">
                  <c:v>4. Resources</c:v>
                </c:pt>
              </c:strCache>
            </c:strRef>
          </c:cat>
          <c:val>
            <c:numRef>
              <c:f>RepoData!$C$44:$C$47</c:f>
              <c:numCache>
                <c:formatCode>General</c:formatCode>
                <c:ptCount val="4"/>
                <c:pt idx="0">
                  <c:v>2</c:v>
                </c:pt>
                <c:pt idx="1">
                  <c:v>2</c:v>
                </c:pt>
                <c:pt idx="2">
                  <c:v>3</c:v>
                </c:pt>
                <c:pt idx="3">
                  <c:v>3</c:v>
                </c:pt>
              </c:numCache>
            </c:numRef>
          </c:val>
          <c:extLst>
            <c:ext xmlns:c16="http://schemas.microsoft.com/office/drawing/2014/chart" uri="{C3380CC4-5D6E-409C-BE32-E72D297353CC}">
              <c16:uniqueId val="{00000000-7489-4679-9E48-FE49E763426C}"/>
            </c:ext>
          </c:extLst>
        </c:ser>
        <c:dLbls>
          <c:showLegendKey val="0"/>
          <c:showVal val="0"/>
          <c:showCatName val="0"/>
          <c:showSerName val="0"/>
          <c:showPercent val="0"/>
          <c:showBubbleSize val="0"/>
        </c:dLbls>
        <c:axId val="241575455"/>
        <c:axId val="241574495"/>
      </c:radarChart>
      <c:catAx>
        <c:axId val="24157545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4495"/>
        <c:crosses val="autoZero"/>
        <c:auto val="1"/>
        <c:lblAlgn val="ctr"/>
        <c:lblOffset val="100"/>
        <c:noMultiLvlLbl val="0"/>
      </c:catAx>
      <c:valAx>
        <c:axId val="24157449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241575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plotArea>
      <c:layout/>
      <c:radarChart>
        <c:radarStyle val="marker"/>
        <c:varyColors val="0"/>
        <c:ser>
          <c:idx val="0"/>
          <c:order val="0"/>
          <c:tx>
            <c:strRef>
              <c:f>RepoData!$C$69</c:f>
              <c:strCache>
                <c:ptCount val="1"/>
                <c:pt idx="0">
                  <c:v>Maturity level of Categories</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RepoData!$B$70:$B$84</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RepoData!$C$70:$C$84</c:f>
              <c:numCache>
                <c:formatCode>General</c:formatCode>
                <c:ptCount val="15"/>
                <c:pt idx="0">
                  <c:v>2</c:v>
                </c:pt>
                <c:pt idx="1">
                  <c:v>2</c:v>
                </c:pt>
                <c:pt idx="2">
                  <c:v>2</c:v>
                </c:pt>
                <c:pt idx="3">
                  <c:v>3</c:v>
                </c:pt>
                <c:pt idx="4">
                  <c:v>2</c:v>
                </c:pt>
                <c:pt idx="5">
                  <c:v>2</c:v>
                </c:pt>
                <c:pt idx="6">
                  <c:v>3</c:v>
                </c:pt>
                <c:pt idx="7">
                  <c:v>2</c:v>
                </c:pt>
                <c:pt idx="8">
                  <c:v>3</c:v>
                </c:pt>
                <c:pt idx="9">
                  <c:v>3</c:v>
                </c:pt>
                <c:pt idx="10">
                  <c:v>3</c:v>
                </c:pt>
                <c:pt idx="11">
                  <c:v>2</c:v>
                </c:pt>
                <c:pt idx="12">
                  <c:v>5</c:v>
                </c:pt>
                <c:pt idx="13">
                  <c:v>4</c:v>
                </c:pt>
                <c:pt idx="14">
                  <c:v>3</c:v>
                </c:pt>
              </c:numCache>
            </c:numRef>
          </c:val>
          <c:extLst>
            <c:ext xmlns:c16="http://schemas.microsoft.com/office/drawing/2014/chart" uri="{C3380CC4-5D6E-409C-BE32-E72D297353CC}">
              <c16:uniqueId val="{00000000-AD60-4D40-9EBF-3F8EB4D6DA59}"/>
            </c:ext>
          </c:extLst>
        </c:ser>
        <c:ser>
          <c:idx val="1"/>
          <c:order val="1"/>
          <c:tx>
            <c:strRef>
              <c:f>RepoData!$D$69</c:f>
              <c:strCache>
                <c:ptCount val="1"/>
                <c:pt idx="0">
                  <c:v>Maturity level of Modules</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RepoData!$B$70:$B$84</c:f>
              <c:strCache>
                <c:ptCount val="15"/>
                <c:pt idx="0">
                  <c:v>1.1. Strategy and vision</c:v>
                </c:pt>
                <c:pt idx="1">
                  <c:v>1.2. Policies and documentation</c:v>
                </c:pt>
                <c:pt idx="2">
                  <c:v>1.3. Compliance</c:v>
                </c:pt>
                <c:pt idx="3">
                  <c:v>1.4. Processes and procedures</c:v>
                </c:pt>
                <c:pt idx="4">
                  <c:v>2.1. Key Management</c:v>
                </c:pt>
                <c:pt idx="5">
                  <c:v>2.2. Certificate Management</c:v>
                </c:pt>
                <c:pt idx="6">
                  <c:v>2.3. Infrastructure Management</c:v>
                </c:pt>
                <c:pt idx="7">
                  <c:v>2.4. Change Management and Agility</c:v>
                </c:pt>
                <c:pt idx="8">
                  <c:v>3.1. Resilience</c:v>
                </c:pt>
                <c:pt idx="9">
                  <c:v>3.2. Interoperability</c:v>
                </c:pt>
                <c:pt idx="10">
                  <c:v>3.3. Monitoring and Auditing</c:v>
                </c:pt>
                <c:pt idx="11">
                  <c:v>3.4. Automation</c:v>
                </c:pt>
                <c:pt idx="12">
                  <c:v>4.1. Sourcing</c:v>
                </c:pt>
                <c:pt idx="13">
                  <c:v>4.2. Knowledge and Training</c:v>
                </c:pt>
                <c:pt idx="14">
                  <c:v>4.3. Awareness</c:v>
                </c:pt>
              </c:strCache>
            </c:strRef>
          </c:cat>
          <c:val>
            <c:numRef>
              <c:f>RepoData!$D$70:$D$84</c:f>
              <c:numCache>
                <c:formatCode>General</c:formatCode>
                <c:ptCount val="15"/>
                <c:pt idx="0">
                  <c:v>2</c:v>
                </c:pt>
                <c:pt idx="1">
                  <c:v>2</c:v>
                </c:pt>
                <c:pt idx="2">
                  <c:v>2</c:v>
                </c:pt>
                <c:pt idx="3">
                  <c:v>2</c:v>
                </c:pt>
                <c:pt idx="4">
                  <c:v>2</c:v>
                </c:pt>
                <c:pt idx="5">
                  <c:v>2</c:v>
                </c:pt>
                <c:pt idx="6">
                  <c:v>2</c:v>
                </c:pt>
                <c:pt idx="7">
                  <c:v>2</c:v>
                </c:pt>
                <c:pt idx="8">
                  <c:v>3</c:v>
                </c:pt>
                <c:pt idx="9">
                  <c:v>3</c:v>
                </c:pt>
                <c:pt idx="10">
                  <c:v>3</c:v>
                </c:pt>
                <c:pt idx="11">
                  <c:v>3</c:v>
                </c:pt>
                <c:pt idx="12">
                  <c:v>4</c:v>
                </c:pt>
                <c:pt idx="13">
                  <c:v>4</c:v>
                </c:pt>
                <c:pt idx="14">
                  <c:v>4</c:v>
                </c:pt>
              </c:numCache>
            </c:numRef>
          </c:val>
          <c:extLst>
            <c:ext xmlns:c16="http://schemas.microsoft.com/office/drawing/2014/chart" uri="{C3380CC4-5D6E-409C-BE32-E72D297353CC}">
              <c16:uniqueId val="{00000001-AD60-4D40-9EBF-3F8EB4D6DA59}"/>
            </c:ext>
          </c:extLst>
        </c:ser>
        <c:dLbls>
          <c:showLegendKey val="0"/>
          <c:showVal val="0"/>
          <c:showCatName val="0"/>
          <c:showSerName val="0"/>
          <c:showPercent val="0"/>
          <c:showBubbleSize val="0"/>
        </c:dLbls>
        <c:axId val="1158138447"/>
        <c:axId val="1158137487"/>
      </c:radarChart>
      <c:catAx>
        <c:axId val="1158138447"/>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8137487"/>
        <c:crosses val="autoZero"/>
        <c:auto val="1"/>
        <c:lblAlgn val="ctr"/>
        <c:lblOffset val="100"/>
        <c:noMultiLvlLbl val="0"/>
      </c:catAx>
      <c:valAx>
        <c:axId val="115813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1158138447"/>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chart" Target="../charts/chart11.xml"/><Relationship Id="rId4" Type="http://schemas.openxmlformats.org/officeDocument/2006/relationships/chart" Target="../charts/chart10.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56</xdr:row>
      <xdr:rowOff>9525</xdr:rowOff>
    </xdr:from>
    <xdr:to>
      <xdr:col>11</xdr:col>
      <xdr:colOff>580935</xdr:colOff>
      <xdr:row>67</xdr:row>
      <xdr:rowOff>76200</xdr:rowOff>
    </xdr:to>
    <xdr:pic>
      <xdr:nvPicPr>
        <xdr:cNvPr id="5" name="Obrázek 4">
          <a:extLst>
            <a:ext uri="{FF2B5EF4-FFF2-40B4-BE49-F238E27FC236}">
              <a16:creationId xmlns:a16="http://schemas.microsoft.com/office/drawing/2014/main" id="{D7D7A574-C983-0413-43FF-2DD5A42540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1" y="14077950"/>
          <a:ext cx="5381534" cy="2590800"/>
        </a:xfrm>
        <a:prstGeom prst="rect">
          <a:avLst/>
        </a:prstGeom>
      </xdr:spPr>
    </xdr:pic>
    <xdr:clientData/>
  </xdr:twoCellAnchor>
  <xdr:twoCellAnchor editAs="oneCell">
    <xdr:from>
      <xdr:col>3</xdr:col>
      <xdr:colOff>114301</xdr:colOff>
      <xdr:row>119</xdr:row>
      <xdr:rowOff>9525</xdr:rowOff>
    </xdr:from>
    <xdr:to>
      <xdr:col>11</xdr:col>
      <xdr:colOff>572185</xdr:colOff>
      <xdr:row>119</xdr:row>
      <xdr:rowOff>1810001</xdr:rowOff>
    </xdr:to>
    <xdr:pic>
      <xdr:nvPicPr>
        <xdr:cNvPr id="7" name="Obrázek 6">
          <a:extLst>
            <a:ext uri="{FF2B5EF4-FFF2-40B4-BE49-F238E27FC236}">
              <a16:creationId xmlns:a16="http://schemas.microsoft.com/office/drawing/2014/main" id="{D1389431-3D3E-E006-9DA2-11C159C056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1501" y="22631400"/>
          <a:ext cx="4915584" cy="1800476"/>
        </a:xfrm>
        <a:prstGeom prst="rect">
          <a:avLst/>
        </a:prstGeom>
      </xdr:spPr>
    </xdr:pic>
    <xdr:clientData/>
  </xdr:twoCellAnchor>
  <xdr:twoCellAnchor editAs="oneCell">
    <xdr:from>
      <xdr:col>4</xdr:col>
      <xdr:colOff>19050</xdr:colOff>
      <xdr:row>129</xdr:row>
      <xdr:rowOff>0</xdr:rowOff>
    </xdr:from>
    <xdr:to>
      <xdr:col>11</xdr:col>
      <xdr:colOff>391172</xdr:colOff>
      <xdr:row>132</xdr:row>
      <xdr:rowOff>9614</xdr:rowOff>
    </xdr:to>
    <xdr:pic>
      <xdr:nvPicPr>
        <xdr:cNvPr id="9" name="Obrázek 8">
          <a:extLst>
            <a:ext uri="{FF2B5EF4-FFF2-40B4-BE49-F238E27FC236}">
              <a16:creationId xmlns:a16="http://schemas.microsoft.com/office/drawing/2014/main" id="{E2DD50D7-5F56-7664-D551-BF81EDF0AB9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6750" y="26746200"/>
          <a:ext cx="4639322" cy="638264"/>
        </a:xfrm>
        <a:prstGeom prst="rect">
          <a:avLst/>
        </a:prstGeom>
      </xdr:spPr>
    </xdr:pic>
    <xdr:clientData/>
  </xdr:twoCellAnchor>
  <xdr:twoCellAnchor editAs="oneCell">
    <xdr:from>
      <xdr:col>4</xdr:col>
      <xdr:colOff>9525</xdr:colOff>
      <xdr:row>146</xdr:row>
      <xdr:rowOff>66675</xdr:rowOff>
    </xdr:from>
    <xdr:to>
      <xdr:col>11</xdr:col>
      <xdr:colOff>544544</xdr:colOff>
      <xdr:row>159</xdr:row>
      <xdr:rowOff>9956</xdr:rowOff>
    </xdr:to>
    <xdr:pic>
      <xdr:nvPicPr>
        <xdr:cNvPr id="3" name="Obrázek 2">
          <a:extLst>
            <a:ext uri="{FF2B5EF4-FFF2-40B4-BE49-F238E27FC236}">
              <a16:creationId xmlns:a16="http://schemas.microsoft.com/office/drawing/2014/main" id="{783CD91D-C1CC-EB64-A8B7-E11BB41C895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57225" y="33023175"/>
          <a:ext cx="4802219" cy="2419781"/>
        </a:xfrm>
        <a:prstGeom prst="rect">
          <a:avLst/>
        </a:prstGeom>
      </xdr:spPr>
    </xdr:pic>
    <xdr:clientData/>
  </xdr:twoCellAnchor>
  <xdr:twoCellAnchor editAs="oneCell">
    <xdr:from>
      <xdr:col>4</xdr:col>
      <xdr:colOff>19050</xdr:colOff>
      <xdr:row>192</xdr:row>
      <xdr:rowOff>47625</xdr:rowOff>
    </xdr:from>
    <xdr:to>
      <xdr:col>11</xdr:col>
      <xdr:colOff>190500</xdr:colOff>
      <xdr:row>201</xdr:row>
      <xdr:rowOff>114300</xdr:rowOff>
    </xdr:to>
    <xdr:pic>
      <xdr:nvPicPr>
        <xdr:cNvPr id="4" name="Obrázek 3">
          <a:extLst>
            <a:ext uri="{FF2B5EF4-FFF2-40B4-BE49-F238E27FC236}">
              <a16:creationId xmlns:a16="http://schemas.microsoft.com/office/drawing/2014/main" id="{7190B852-8663-7873-D00A-0D5C6E4823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66750" y="46110525"/>
          <a:ext cx="4438650" cy="1781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148</xdr:row>
      <xdr:rowOff>66674</xdr:rowOff>
    </xdr:from>
    <xdr:to>
      <xdr:col>9</xdr:col>
      <xdr:colOff>571500</xdr:colOff>
      <xdr:row>165</xdr:row>
      <xdr:rowOff>95249</xdr:rowOff>
    </xdr:to>
    <xdr:graphicFrame macro="">
      <xdr:nvGraphicFramePr>
        <xdr:cNvPr id="4" name="Graf 4">
          <a:extLst>
            <a:ext uri="{FF2B5EF4-FFF2-40B4-BE49-F238E27FC236}">
              <a16:creationId xmlns:a16="http://schemas.microsoft.com/office/drawing/2014/main" id="{53023818-35FF-4B3C-BBE9-13F25F125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232834</xdr:colOff>
      <xdr:row>132</xdr:row>
      <xdr:rowOff>158750</xdr:rowOff>
    </xdr:from>
    <xdr:to>
      <xdr:col>8</xdr:col>
      <xdr:colOff>423334</xdr:colOff>
      <xdr:row>147</xdr:row>
      <xdr:rowOff>44450</xdr:rowOff>
    </xdr:to>
    <xdr:graphicFrame macro="">
      <xdr:nvGraphicFramePr>
        <xdr:cNvPr id="5" name="Graf 4">
          <a:extLst>
            <a:ext uri="{FF2B5EF4-FFF2-40B4-BE49-F238E27FC236}">
              <a16:creationId xmlns:a16="http://schemas.microsoft.com/office/drawing/2014/main" id="{DD586017-FE22-404A-A5E8-40A6E1199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148</xdr:row>
      <xdr:rowOff>66674</xdr:rowOff>
    </xdr:from>
    <xdr:to>
      <xdr:col>9</xdr:col>
      <xdr:colOff>571500</xdr:colOff>
      <xdr:row>165</xdr:row>
      <xdr:rowOff>95249</xdr:rowOff>
    </xdr:to>
    <xdr:graphicFrame macro="">
      <xdr:nvGraphicFramePr>
        <xdr:cNvPr id="3" name="Graf 4">
          <a:extLst>
            <a:ext uri="{FF2B5EF4-FFF2-40B4-BE49-F238E27FC236}">
              <a16:creationId xmlns:a16="http://schemas.microsoft.com/office/drawing/2014/main" id="{FBAAF05A-4704-4E52-8979-A44DCC117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359838</xdr:colOff>
      <xdr:row>132</xdr:row>
      <xdr:rowOff>95250</xdr:rowOff>
    </xdr:from>
    <xdr:to>
      <xdr:col>8</xdr:col>
      <xdr:colOff>359838</xdr:colOff>
      <xdr:row>146</xdr:row>
      <xdr:rowOff>171450</xdr:rowOff>
    </xdr:to>
    <xdr:graphicFrame macro="">
      <xdr:nvGraphicFramePr>
        <xdr:cNvPr id="4" name="Graf 3">
          <a:extLst>
            <a:ext uri="{FF2B5EF4-FFF2-40B4-BE49-F238E27FC236}">
              <a16:creationId xmlns:a16="http://schemas.microsoft.com/office/drawing/2014/main" id="{DC011F7C-A738-4143-8B71-467AA6536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148</xdr:row>
      <xdr:rowOff>66674</xdr:rowOff>
    </xdr:from>
    <xdr:to>
      <xdr:col>9</xdr:col>
      <xdr:colOff>571500</xdr:colOff>
      <xdr:row>165</xdr:row>
      <xdr:rowOff>95249</xdr:rowOff>
    </xdr:to>
    <xdr:graphicFrame macro="">
      <xdr:nvGraphicFramePr>
        <xdr:cNvPr id="3" name="Graf 4">
          <a:extLst>
            <a:ext uri="{FF2B5EF4-FFF2-40B4-BE49-F238E27FC236}">
              <a16:creationId xmlns:a16="http://schemas.microsoft.com/office/drawing/2014/main" id="{B9F747E8-AA1C-4514-B0FB-5B8B20872E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381000</xdr:colOff>
      <xdr:row>132</xdr:row>
      <xdr:rowOff>105834</xdr:rowOff>
    </xdr:from>
    <xdr:to>
      <xdr:col>8</xdr:col>
      <xdr:colOff>412750</xdr:colOff>
      <xdr:row>146</xdr:row>
      <xdr:rowOff>182034</xdr:rowOff>
    </xdr:to>
    <xdr:graphicFrame macro="">
      <xdr:nvGraphicFramePr>
        <xdr:cNvPr id="4" name="Graf 3">
          <a:extLst>
            <a:ext uri="{FF2B5EF4-FFF2-40B4-BE49-F238E27FC236}">
              <a16:creationId xmlns:a16="http://schemas.microsoft.com/office/drawing/2014/main" id="{535D3E55-F9FD-48F1-AAA6-EF83BE0BD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76199</xdr:colOff>
      <xdr:row>19</xdr:row>
      <xdr:rowOff>23811</xdr:rowOff>
    </xdr:from>
    <xdr:to>
      <xdr:col>14</xdr:col>
      <xdr:colOff>9525</xdr:colOff>
      <xdr:row>38</xdr:row>
      <xdr:rowOff>161924</xdr:rowOff>
    </xdr:to>
    <xdr:graphicFrame macro="">
      <xdr:nvGraphicFramePr>
        <xdr:cNvPr id="2" name="Graf 1">
          <a:extLst>
            <a:ext uri="{FF2B5EF4-FFF2-40B4-BE49-F238E27FC236}">
              <a16:creationId xmlns:a16="http://schemas.microsoft.com/office/drawing/2014/main" id="{F4C3B7CB-2087-2EB4-DF75-5C299B76B3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42</xdr:row>
      <xdr:rowOff>14287</xdr:rowOff>
    </xdr:from>
    <xdr:to>
      <xdr:col>10</xdr:col>
      <xdr:colOff>371475</xdr:colOff>
      <xdr:row>56</xdr:row>
      <xdr:rowOff>90487</xdr:rowOff>
    </xdr:to>
    <xdr:graphicFrame macro="">
      <xdr:nvGraphicFramePr>
        <xdr:cNvPr id="3" name="Graf 2">
          <a:extLst>
            <a:ext uri="{FF2B5EF4-FFF2-40B4-BE49-F238E27FC236}">
              <a16:creationId xmlns:a16="http://schemas.microsoft.com/office/drawing/2014/main" id="{0FF5036C-4E5F-11A4-FC06-FAB638E4D4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85724</xdr:colOff>
      <xdr:row>69</xdr:row>
      <xdr:rowOff>14286</xdr:rowOff>
    </xdr:from>
    <xdr:to>
      <xdr:col>14</xdr:col>
      <xdr:colOff>495299</xdr:colOff>
      <xdr:row>99</xdr:row>
      <xdr:rowOff>161925</xdr:rowOff>
    </xdr:to>
    <xdr:graphicFrame macro="">
      <xdr:nvGraphicFramePr>
        <xdr:cNvPr id="4" name="Graf 3">
          <a:extLst>
            <a:ext uri="{FF2B5EF4-FFF2-40B4-BE49-F238E27FC236}">
              <a16:creationId xmlns:a16="http://schemas.microsoft.com/office/drawing/2014/main" id="{46507B22-DC15-D3B8-6408-33C375845A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257175</xdr:colOff>
      <xdr:row>21</xdr:row>
      <xdr:rowOff>80962</xdr:rowOff>
    </xdr:from>
    <xdr:to>
      <xdr:col>25</xdr:col>
      <xdr:colOff>561975</xdr:colOff>
      <xdr:row>35</xdr:row>
      <xdr:rowOff>157162</xdr:rowOff>
    </xdr:to>
    <xdr:graphicFrame macro="">
      <xdr:nvGraphicFramePr>
        <xdr:cNvPr id="6" name="Graf 4">
          <a:extLst>
            <a:ext uri="{FF2B5EF4-FFF2-40B4-BE49-F238E27FC236}">
              <a16:creationId xmlns:a16="http://schemas.microsoft.com/office/drawing/2014/main" id="{7A60AC1A-CFC0-CD68-B7C4-066A73AB76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381000</xdr:colOff>
      <xdr:row>42</xdr:row>
      <xdr:rowOff>14287</xdr:rowOff>
    </xdr:from>
    <xdr:to>
      <xdr:col>28</xdr:col>
      <xdr:colOff>0</xdr:colOff>
      <xdr:row>67</xdr:row>
      <xdr:rowOff>9525</xdr:rowOff>
    </xdr:to>
    <xdr:graphicFrame macro="">
      <xdr:nvGraphicFramePr>
        <xdr:cNvPr id="7" name="Graf 6">
          <a:extLst>
            <a:ext uri="{FF2B5EF4-FFF2-40B4-BE49-F238E27FC236}">
              <a16:creationId xmlns:a16="http://schemas.microsoft.com/office/drawing/2014/main" id="{BF731D20-2D56-B482-CCA7-F2EDF93AB2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hyperlink" Target="https://github.com/pkic/pkimm/blob/main/categories/infrastructure-management/_index.md?plain=1" TargetMode="External"/><Relationship Id="rId13" Type="http://schemas.openxmlformats.org/officeDocument/2006/relationships/hyperlink" Target="https://github.com/pkic/pkimm/blob/main/categories/automation/_index.md?plain=1" TargetMode="External"/><Relationship Id="rId18" Type="http://schemas.openxmlformats.org/officeDocument/2006/relationships/printerSettings" Target="../printerSettings/printerSettings11.bin"/><Relationship Id="rId3" Type="http://schemas.openxmlformats.org/officeDocument/2006/relationships/hyperlink" Target="https://github.com/pkic/pkimm/blob/main/categories/policies-and-documentation/_index.md?plain=1" TargetMode="External"/><Relationship Id="rId7" Type="http://schemas.openxmlformats.org/officeDocument/2006/relationships/hyperlink" Target="https://github.com/pkic/pkimm/blob/main/categories/certificate-management/_index.md?plain=1" TargetMode="External"/><Relationship Id="rId12" Type="http://schemas.openxmlformats.org/officeDocument/2006/relationships/hyperlink" Target="https://github.com/pkic/pkimm/blob/main/categories/monitoring-and-auditing/_index.md?plain=1" TargetMode="External"/><Relationship Id="rId17" Type="http://schemas.openxmlformats.org/officeDocument/2006/relationships/hyperlink" Target="https://github.com/pkic/pkimm/blob/main/categories/list-of-categories/_index.md?plain=1" TargetMode="External"/><Relationship Id="rId2" Type="http://schemas.openxmlformats.org/officeDocument/2006/relationships/hyperlink" Target="https://github.com/pkic/pkimm/blob/main/categories/strategy-and-vision/_index.md?plain=1" TargetMode="External"/><Relationship Id="rId16" Type="http://schemas.openxmlformats.org/officeDocument/2006/relationships/hyperlink" Target="https://github.com/pkic/pkimm/blob/main/categories/awareness/_index.md" TargetMode="External"/><Relationship Id="rId1" Type="http://schemas.openxmlformats.org/officeDocument/2006/relationships/hyperlink" Target="https://github.com/pkic/pkimm/blob/main/model/maturity-levels/_index.md?plain=1" TargetMode="External"/><Relationship Id="rId6" Type="http://schemas.openxmlformats.org/officeDocument/2006/relationships/hyperlink" Target="https://github.com/pkic/pkimm/blob/main/categories/key-management/_index.md?plain=1" TargetMode="External"/><Relationship Id="rId11" Type="http://schemas.openxmlformats.org/officeDocument/2006/relationships/hyperlink" Target="https://github.com/pkic/pkimm/blob/main/categories/interoperability/_index.md?plain=1" TargetMode="External"/><Relationship Id="rId5" Type="http://schemas.openxmlformats.org/officeDocument/2006/relationships/hyperlink" Target="https://github.com/pkic/pkimm/blob/main/categories/processes-and-procedures/_index.md?plain=1" TargetMode="External"/><Relationship Id="rId15" Type="http://schemas.openxmlformats.org/officeDocument/2006/relationships/hyperlink" Target="https://github.com/pkic/pkimm/blob/main/categories/knowledge-and-training/_index.md" TargetMode="External"/><Relationship Id="rId10" Type="http://schemas.openxmlformats.org/officeDocument/2006/relationships/hyperlink" Target="https://github.com/pkic/pkimm/blob/main/categories/resilience/_index.md?plain=1" TargetMode="External"/><Relationship Id="rId4" Type="http://schemas.openxmlformats.org/officeDocument/2006/relationships/hyperlink" Target="https://github.com/pkic/pkimm/blob/main/categories/compliance/_index.md?plain=1" TargetMode="External"/><Relationship Id="rId9" Type="http://schemas.openxmlformats.org/officeDocument/2006/relationships/hyperlink" Target="https://github.com/pkic/pkimm/blob/main/categories/change-management-and-agility/_index.md?plain=1" TargetMode="External"/><Relationship Id="rId14" Type="http://schemas.openxmlformats.org/officeDocument/2006/relationships/hyperlink" Target="https://github.com/pkic/pkimm/blob/main/categories/sourcing/_index.md"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pkic.org/pkimm/categories/"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EEB5-9901-45B6-9B40-21FF89C8095E}">
  <dimension ref="B2:R212"/>
  <sheetViews>
    <sheetView showGridLines="0" zoomScaleNormal="100" workbookViewId="0">
      <pane ySplit="2" topLeftCell="A3" activePane="bottomLeft" state="frozen"/>
      <selection pane="bottomLeft"/>
    </sheetView>
  </sheetViews>
  <sheetFormatPr defaultColWidth="8.85546875" defaultRowHeight="15" x14ac:dyDescent="0.25"/>
  <cols>
    <col min="1" max="1" width="1.140625" customWidth="1"/>
    <col min="2" max="4" width="2.85546875" customWidth="1"/>
  </cols>
  <sheetData>
    <row r="2" spans="2:12" ht="49.5" x14ac:dyDescent="0.25">
      <c r="B2" s="524" t="s">
        <v>338</v>
      </c>
      <c r="C2" s="524"/>
      <c r="D2" s="524"/>
      <c r="E2" s="524"/>
      <c r="F2" s="524"/>
      <c r="G2" s="524"/>
      <c r="H2" s="524"/>
      <c r="I2" s="524"/>
      <c r="J2" s="524"/>
      <c r="K2" s="524"/>
      <c r="L2" s="524"/>
    </row>
    <row r="3" spans="2:12" x14ac:dyDescent="0.25">
      <c r="B3" s="254"/>
      <c r="C3" s="254"/>
      <c r="D3" s="254"/>
      <c r="E3" s="254"/>
      <c r="F3" s="254"/>
      <c r="G3" s="254"/>
      <c r="H3" s="254"/>
      <c r="I3" s="254"/>
      <c r="J3" s="254"/>
      <c r="K3" s="254"/>
      <c r="L3" s="254"/>
    </row>
    <row r="4" spans="2:12" ht="18.75" x14ac:dyDescent="0.25">
      <c r="B4" s="517" t="s">
        <v>425</v>
      </c>
      <c r="C4" s="517"/>
      <c r="D4" s="517"/>
      <c r="E4" s="517"/>
      <c r="F4" s="517"/>
      <c r="G4" s="517"/>
      <c r="H4" s="517"/>
      <c r="I4" s="517"/>
      <c r="J4" s="517"/>
      <c r="K4" s="517"/>
      <c r="L4" s="517"/>
    </row>
    <row r="5" spans="2:12" ht="6" customHeight="1" x14ac:dyDescent="0.25">
      <c r="B5" s="254"/>
      <c r="C5" s="254"/>
      <c r="D5" s="254"/>
      <c r="E5" s="254"/>
      <c r="F5" s="254"/>
      <c r="G5" s="254"/>
      <c r="H5" s="254"/>
      <c r="I5" s="254"/>
      <c r="J5" s="254"/>
      <c r="K5" s="254"/>
      <c r="L5" s="254"/>
    </row>
    <row r="6" spans="2:12" ht="52.5" customHeight="1" x14ac:dyDescent="0.25">
      <c r="B6" s="520" t="s">
        <v>426</v>
      </c>
      <c r="C6" s="520"/>
      <c r="D6" s="520"/>
      <c r="E6" s="520"/>
      <c r="F6" s="520"/>
      <c r="G6" s="520"/>
      <c r="H6" s="520"/>
      <c r="I6" s="520"/>
      <c r="J6" s="520"/>
      <c r="K6" s="520"/>
      <c r="L6" s="520"/>
    </row>
    <row r="7" spans="2:12" x14ac:dyDescent="0.25">
      <c r="B7" s="254"/>
      <c r="C7" s="254"/>
      <c r="D7" s="254"/>
      <c r="E7" s="254"/>
      <c r="F7" s="254"/>
      <c r="G7" s="254"/>
      <c r="H7" s="254"/>
      <c r="I7" s="254"/>
      <c r="J7" s="254"/>
      <c r="K7" s="254"/>
      <c r="L7" s="254"/>
    </row>
    <row r="8" spans="2:12" ht="15.75" x14ac:dyDescent="0.25">
      <c r="B8" s="254"/>
      <c r="C8" s="521" t="s">
        <v>348</v>
      </c>
      <c r="D8" s="521"/>
      <c r="E8" s="521"/>
      <c r="F8" s="521"/>
      <c r="G8" s="521"/>
      <c r="H8" s="521"/>
      <c r="I8" s="521"/>
      <c r="J8" s="521"/>
      <c r="K8" s="521"/>
      <c r="L8" s="521"/>
    </row>
    <row r="9" spans="2:12" ht="6" customHeight="1" x14ac:dyDescent="0.25">
      <c r="B9" s="254"/>
      <c r="C9" s="255"/>
      <c r="D9" s="254"/>
      <c r="E9" s="254"/>
      <c r="F9" s="254"/>
      <c r="G9" s="254"/>
      <c r="H9" s="254"/>
      <c r="I9" s="254"/>
      <c r="J9" s="254"/>
      <c r="K9" s="254"/>
      <c r="L9" s="254"/>
    </row>
    <row r="10" spans="2:12" x14ac:dyDescent="0.25">
      <c r="B10" s="254"/>
      <c r="C10" s="254" t="s">
        <v>349</v>
      </c>
      <c r="E10" s="255" t="s">
        <v>350</v>
      </c>
      <c r="F10" s="256"/>
      <c r="G10" s="254"/>
      <c r="H10" s="254"/>
      <c r="I10" s="254"/>
      <c r="J10" s="254"/>
      <c r="K10" s="254"/>
      <c r="L10" s="254"/>
    </row>
    <row r="11" spans="2:12" ht="7.5" customHeight="1" x14ac:dyDescent="0.25">
      <c r="B11" s="254"/>
      <c r="E11" s="254"/>
      <c r="G11" s="254"/>
      <c r="H11" s="254"/>
      <c r="I11" s="254"/>
      <c r="J11" s="254"/>
      <c r="K11" s="254"/>
      <c r="L11" s="254"/>
    </row>
    <row r="12" spans="2:12" ht="30" customHeight="1" x14ac:dyDescent="0.25">
      <c r="B12" s="254"/>
      <c r="E12" s="514" t="s">
        <v>205</v>
      </c>
      <c r="F12" s="556"/>
      <c r="G12" s="548" t="s">
        <v>359</v>
      </c>
      <c r="H12" s="548"/>
      <c r="I12" s="548"/>
      <c r="J12" s="548"/>
      <c r="K12" s="548"/>
      <c r="L12" s="557"/>
    </row>
    <row r="13" spans="2:12" ht="30" customHeight="1" x14ac:dyDescent="0.25">
      <c r="B13" s="254"/>
      <c r="E13" s="504" t="s">
        <v>208</v>
      </c>
      <c r="F13" s="555"/>
      <c r="G13" s="527" t="s">
        <v>360</v>
      </c>
      <c r="H13" s="527"/>
      <c r="I13" s="527"/>
      <c r="J13" s="527"/>
      <c r="K13" s="527"/>
      <c r="L13" s="528"/>
    </row>
    <row r="14" spans="2:12" ht="30" customHeight="1" x14ac:dyDescent="0.25">
      <c r="B14" s="254"/>
      <c r="E14" s="504" t="s">
        <v>207</v>
      </c>
      <c r="F14" s="555"/>
      <c r="G14" s="527" t="s">
        <v>361</v>
      </c>
      <c r="H14" s="527"/>
      <c r="I14" s="527"/>
      <c r="J14" s="527"/>
      <c r="K14" s="527"/>
      <c r="L14" s="528"/>
    </row>
    <row r="15" spans="2:12" ht="30" customHeight="1" x14ac:dyDescent="0.25">
      <c r="B15" s="254"/>
      <c r="E15" s="504" t="s">
        <v>276</v>
      </c>
      <c r="F15" s="555"/>
      <c r="G15" s="527" t="s">
        <v>362</v>
      </c>
      <c r="H15" s="527"/>
      <c r="I15" s="527"/>
      <c r="J15" s="527"/>
      <c r="K15" s="527"/>
      <c r="L15" s="528"/>
    </row>
    <row r="16" spans="2:12" ht="30" customHeight="1" x14ac:dyDescent="0.25">
      <c r="B16" s="254"/>
      <c r="E16" s="508" t="s">
        <v>282</v>
      </c>
      <c r="F16" s="519"/>
      <c r="G16" s="529" t="s">
        <v>362</v>
      </c>
      <c r="H16" s="529"/>
      <c r="I16" s="529"/>
      <c r="J16" s="529"/>
      <c r="K16" s="529"/>
      <c r="L16" s="530"/>
    </row>
    <row r="17" spans="2:12" x14ac:dyDescent="0.25">
      <c r="B17" s="254"/>
      <c r="E17" s="258"/>
      <c r="G17" s="254"/>
      <c r="H17" s="254"/>
      <c r="I17" s="254"/>
      <c r="J17" s="254"/>
      <c r="K17" s="254"/>
      <c r="L17" s="254"/>
    </row>
    <row r="18" spans="2:12" x14ac:dyDescent="0.25">
      <c r="B18" s="254"/>
      <c r="C18" s="254" t="s">
        <v>352</v>
      </c>
      <c r="E18" s="255" t="s">
        <v>351</v>
      </c>
      <c r="G18" s="254"/>
      <c r="H18" s="254"/>
      <c r="I18" s="254"/>
      <c r="J18" s="254"/>
      <c r="K18" s="254"/>
      <c r="L18" s="254"/>
    </row>
    <row r="19" spans="2:12" ht="7.5" customHeight="1" x14ac:dyDescent="0.25">
      <c r="B19" s="254"/>
      <c r="C19" s="257"/>
      <c r="E19" s="256"/>
      <c r="G19" s="254"/>
      <c r="H19" s="254"/>
      <c r="I19" s="254"/>
      <c r="J19" s="254"/>
      <c r="K19" s="254"/>
      <c r="L19" s="254"/>
    </row>
    <row r="20" spans="2:12" ht="30" customHeight="1" x14ac:dyDescent="0.25">
      <c r="B20" s="254"/>
      <c r="E20" s="558" t="s">
        <v>353</v>
      </c>
      <c r="F20" s="559"/>
      <c r="G20" s="548" t="s">
        <v>363</v>
      </c>
      <c r="H20" s="548"/>
      <c r="I20" s="548"/>
      <c r="J20" s="548"/>
      <c r="K20" s="548"/>
      <c r="L20" s="557"/>
    </row>
    <row r="21" spans="2:12" ht="60" customHeight="1" x14ac:dyDescent="0.25">
      <c r="B21" s="254"/>
      <c r="E21" s="504" t="s">
        <v>208</v>
      </c>
      <c r="F21" s="555"/>
      <c r="G21" s="527" t="s">
        <v>364</v>
      </c>
      <c r="H21" s="527"/>
      <c r="I21" s="527"/>
      <c r="J21" s="527"/>
      <c r="K21" s="527"/>
      <c r="L21" s="528"/>
    </row>
    <row r="22" spans="2:12" ht="30" customHeight="1" x14ac:dyDescent="0.25">
      <c r="B22" s="254"/>
      <c r="E22" s="508" t="s">
        <v>354</v>
      </c>
      <c r="F22" s="519"/>
      <c r="G22" s="529" t="s">
        <v>365</v>
      </c>
      <c r="H22" s="529"/>
      <c r="I22" s="529"/>
      <c r="J22" s="529"/>
      <c r="K22" s="529"/>
      <c r="L22" s="530"/>
    </row>
    <row r="23" spans="2:12" x14ac:dyDescent="0.25">
      <c r="B23" s="254"/>
      <c r="E23" s="258"/>
      <c r="G23" s="254"/>
      <c r="H23" s="254"/>
      <c r="I23" s="254"/>
      <c r="J23" s="254"/>
      <c r="K23" s="254"/>
      <c r="L23" s="254"/>
    </row>
    <row r="24" spans="2:12" x14ac:dyDescent="0.25">
      <c r="B24" s="254"/>
      <c r="C24" s="254" t="s">
        <v>356</v>
      </c>
      <c r="E24" s="255" t="s">
        <v>355</v>
      </c>
      <c r="G24" s="254"/>
      <c r="H24" s="254"/>
      <c r="I24" s="254"/>
      <c r="J24" s="254"/>
      <c r="K24" s="254"/>
      <c r="L24" s="254"/>
    </row>
    <row r="25" spans="2:12" ht="7.5" customHeight="1" x14ac:dyDescent="0.25">
      <c r="B25" s="254"/>
      <c r="C25" s="257"/>
      <c r="E25" s="256"/>
      <c r="G25" s="254"/>
      <c r="H25" s="254"/>
      <c r="I25" s="254"/>
      <c r="J25" s="254"/>
      <c r="K25" s="254"/>
      <c r="L25" s="254"/>
    </row>
    <row r="26" spans="2:12" x14ac:dyDescent="0.25">
      <c r="B26" s="254"/>
      <c r="E26" s="258" t="s">
        <v>303</v>
      </c>
      <c r="G26" s="254"/>
      <c r="H26" s="254"/>
      <c r="I26" s="254"/>
      <c r="J26" s="254"/>
      <c r="K26" s="254"/>
      <c r="L26" s="254"/>
    </row>
    <row r="27" spans="2:12" x14ac:dyDescent="0.25">
      <c r="B27" s="254"/>
      <c r="E27" s="258" t="s">
        <v>366</v>
      </c>
      <c r="G27" s="254"/>
      <c r="H27" s="254"/>
      <c r="I27" s="254"/>
      <c r="J27" s="254"/>
      <c r="K27" s="254"/>
      <c r="L27" s="254"/>
    </row>
    <row r="28" spans="2:12" x14ac:dyDescent="0.25">
      <c r="B28" s="254"/>
      <c r="E28" s="258" t="s">
        <v>367</v>
      </c>
      <c r="G28" s="254"/>
      <c r="H28" s="254"/>
      <c r="I28" s="254"/>
      <c r="J28" s="254"/>
      <c r="K28" s="254"/>
      <c r="L28" s="254"/>
    </row>
    <row r="29" spans="2:12" x14ac:dyDescent="0.25">
      <c r="B29" s="254"/>
      <c r="E29" s="254"/>
      <c r="F29" s="256"/>
      <c r="G29" s="254"/>
      <c r="H29" s="254"/>
      <c r="I29" s="254"/>
      <c r="J29" s="254"/>
      <c r="K29" s="254"/>
      <c r="L29" s="254"/>
    </row>
    <row r="30" spans="2:12" x14ac:dyDescent="0.25">
      <c r="B30" s="254"/>
      <c r="C30" s="254" t="s">
        <v>358</v>
      </c>
      <c r="E30" s="255" t="s">
        <v>357</v>
      </c>
      <c r="G30" s="254"/>
      <c r="H30" s="254"/>
      <c r="I30" s="254"/>
      <c r="J30" s="254"/>
      <c r="K30" s="254"/>
      <c r="L30" s="254"/>
    </row>
    <row r="31" spans="2:12" ht="7.5" customHeight="1" x14ac:dyDescent="0.25">
      <c r="B31" s="254"/>
      <c r="E31" s="254"/>
      <c r="G31" s="254"/>
      <c r="H31" s="254"/>
      <c r="I31" s="254"/>
      <c r="J31" s="254"/>
      <c r="K31" s="254"/>
      <c r="L31" s="254"/>
    </row>
    <row r="32" spans="2:12" x14ac:dyDescent="0.25">
      <c r="B32" s="254"/>
      <c r="E32" s="258" t="s">
        <v>368</v>
      </c>
      <c r="G32" s="254"/>
      <c r="H32" s="254"/>
      <c r="I32" s="254"/>
      <c r="J32" s="254"/>
      <c r="K32" s="254"/>
      <c r="L32" s="254"/>
    </row>
    <row r="33" spans="2:18" x14ac:dyDescent="0.25">
      <c r="B33" s="254"/>
      <c r="E33" s="258" t="s">
        <v>369</v>
      </c>
      <c r="G33" s="254"/>
      <c r="H33" s="254"/>
      <c r="I33" s="254"/>
      <c r="J33" s="254"/>
      <c r="K33" s="254"/>
      <c r="L33" s="254"/>
    </row>
    <row r="34" spans="2:18" x14ac:dyDescent="0.25">
      <c r="B34" s="254"/>
      <c r="C34" s="254"/>
      <c r="E34" s="254"/>
      <c r="F34" s="256"/>
      <c r="G34" s="254"/>
      <c r="H34" s="254"/>
      <c r="I34" s="254"/>
      <c r="J34" s="254"/>
      <c r="K34" s="254"/>
      <c r="L34" s="254"/>
    </row>
    <row r="36" spans="2:18" ht="18.75" x14ac:dyDescent="0.25">
      <c r="B36" s="517" t="s">
        <v>153</v>
      </c>
      <c r="C36" s="517"/>
      <c r="D36" s="517"/>
      <c r="E36" s="517"/>
      <c r="F36" s="517"/>
      <c r="G36" s="517"/>
      <c r="H36" s="517"/>
      <c r="I36" s="517"/>
      <c r="J36" s="517"/>
      <c r="K36" s="517"/>
      <c r="L36" s="517"/>
      <c r="R36" s="143"/>
    </row>
    <row r="37" spans="2:18" ht="6" customHeight="1" x14ac:dyDescent="0.25">
      <c r="B37" s="141"/>
      <c r="C37" s="141"/>
      <c r="D37" s="141"/>
      <c r="E37" s="141"/>
      <c r="F37" s="141"/>
      <c r="G37" s="141"/>
      <c r="H37" s="141"/>
      <c r="I37" s="141"/>
      <c r="J37" s="141"/>
    </row>
    <row r="38" spans="2:18" ht="48.75" customHeight="1" x14ac:dyDescent="0.25">
      <c r="B38" s="520" t="s">
        <v>155</v>
      </c>
      <c r="C38" s="520"/>
      <c r="D38" s="520"/>
      <c r="E38" s="520"/>
      <c r="F38" s="520"/>
      <c r="G38" s="520"/>
      <c r="H38" s="520"/>
      <c r="I38" s="520"/>
      <c r="J38" s="520"/>
      <c r="K38" s="520"/>
      <c r="L38" s="520"/>
    </row>
    <row r="39" spans="2:18" ht="48.75" customHeight="1" x14ac:dyDescent="0.25">
      <c r="B39" s="520" t="s">
        <v>186</v>
      </c>
      <c r="C39" s="520"/>
      <c r="D39" s="520"/>
      <c r="E39" s="520"/>
      <c r="F39" s="520"/>
      <c r="G39" s="520"/>
      <c r="H39" s="520"/>
      <c r="I39" s="520"/>
      <c r="J39" s="520"/>
      <c r="K39" s="520"/>
      <c r="L39" s="520"/>
    </row>
    <row r="40" spans="2:18" ht="63.75" customHeight="1" x14ac:dyDescent="0.25">
      <c r="B40" s="520" t="s">
        <v>156</v>
      </c>
      <c r="C40" s="520"/>
      <c r="D40" s="520"/>
      <c r="E40" s="520"/>
      <c r="F40" s="520"/>
      <c r="G40" s="520"/>
      <c r="H40" s="520"/>
      <c r="I40" s="520"/>
      <c r="J40" s="520"/>
      <c r="K40" s="520"/>
      <c r="L40" s="520"/>
    </row>
    <row r="41" spans="2:18" ht="72" customHeight="1" x14ac:dyDescent="0.25">
      <c r="B41" s="142"/>
      <c r="C41" s="141"/>
      <c r="D41" s="525" t="s">
        <v>157</v>
      </c>
      <c r="E41" s="526"/>
      <c r="F41" s="526"/>
      <c r="G41" s="526"/>
      <c r="H41" s="526"/>
      <c r="I41" s="526"/>
      <c r="J41" s="526"/>
      <c r="K41" s="526"/>
      <c r="L41" s="526"/>
    </row>
    <row r="42" spans="2:18" ht="7.5" customHeight="1" x14ac:dyDescent="0.25">
      <c r="B42" s="83"/>
    </row>
    <row r="43" spans="2:18" x14ac:dyDescent="0.25">
      <c r="B43" s="83"/>
      <c r="D43" s="523" t="s">
        <v>158</v>
      </c>
      <c r="E43" s="523"/>
      <c r="F43" s="523"/>
      <c r="G43" s="523"/>
      <c r="H43" s="523"/>
      <c r="I43" s="523"/>
      <c r="J43" s="523"/>
      <c r="K43" s="523"/>
      <c r="L43" s="523"/>
    </row>
    <row r="44" spans="2:18" ht="6" customHeight="1" thickBot="1" x14ac:dyDescent="0.3">
      <c r="B44" s="83"/>
    </row>
    <row r="45" spans="2:18" ht="15.75" thickBot="1" x14ac:dyDescent="0.3">
      <c r="B45" s="83"/>
      <c r="D45" s="531" t="s">
        <v>0</v>
      </c>
      <c r="E45" s="532"/>
      <c r="F45" s="532" t="s">
        <v>148</v>
      </c>
      <c r="G45" s="533"/>
      <c r="H45" s="534" t="s">
        <v>159</v>
      </c>
      <c r="I45" s="532"/>
      <c r="J45" s="532"/>
      <c r="K45" s="532"/>
      <c r="L45" s="533"/>
    </row>
    <row r="46" spans="2:18" ht="37.5" customHeight="1" x14ac:dyDescent="0.25">
      <c r="B46" s="83"/>
      <c r="D46" s="545" t="s">
        <v>4</v>
      </c>
      <c r="E46" s="546"/>
      <c r="F46" s="543" t="s">
        <v>163</v>
      </c>
      <c r="G46" s="544"/>
      <c r="H46" s="547" t="s">
        <v>161</v>
      </c>
      <c r="I46" s="548"/>
      <c r="J46" s="548"/>
      <c r="K46" s="548"/>
      <c r="L46" s="549"/>
    </row>
    <row r="47" spans="2:18" ht="52.5" customHeight="1" x14ac:dyDescent="0.25">
      <c r="B47" s="83"/>
      <c r="D47" s="541" t="s">
        <v>4</v>
      </c>
      <c r="E47" s="542"/>
      <c r="F47" s="539" t="s">
        <v>164</v>
      </c>
      <c r="G47" s="540"/>
      <c r="H47" s="550" t="s">
        <v>162</v>
      </c>
      <c r="I47" s="527"/>
      <c r="J47" s="527"/>
      <c r="K47" s="527"/>
      <c r="L47" s="551"/>
    </row>
    <row r="48" spans="2:18" ht="67.5" customHeight="1" thickBot="1" x14ac:dyDescent="0.3">
      <c r="B48" s="83"/>
      <c r="D48" s="537" t="s">
        <v>5</v>
      </c>
      <c r="E48" s="538"/>
      <c r="F48" s="535" t="s">
        <v>160</v>
      </c>
      <c r="G48" s="536"/>
      <c r="H48" s="552" t="s">
        <v>400</v>
      </c>
      <c r="I48" s="553"/>
      <c r="J48" s="553"/>
      <c r="K48" s="553"/>
      <c r="L48" s="554"/>
    </row>
    <row r="49" spans="2:12" x14ac:dyDescent="0.25">
      <c r="B49" s="83"/>
    </row>
    <row r="50" spans="2:12" ht="15.75" x14ac:dyDescent="0.25">
      <c r="B50" s="83"/>
      <c r="C50" s="521" t="s">
        <v>370</v>
      </c>
      <c r="D50" s="521"/>
      <c r="E50" s="521"/>
      <c r="F50" s="521"/>
      <c r="G50" s="521"/>
      <c r="H50" s="521"/>
      <c r="I50" s="521"/>
      <c r="J50" s="521"/>
      <c r="K50" s="521"/>
      <c r="L50" s="521"/>
    </row>
    <row r="51" spans="2:12" ht="15" customHeight="1" x14ac:dyDescent="0.25">
      <c r="B51" s="83"/>
    </row>
    <row r="52" spans="2:12" ht="15" customHeight="1" x14ac:dyDescent="0.25">
      <c r="B52" s="83"/>
      <c r="C52" s="254" t="s">
        <v>371</v>
      </c>
      <c r="E52" s="511" t="s">
        <v>377</v>
      </c>
      <c r="F52" s="511"/>
      <c r="G52" s="511"/>
      <c r="H52" s="511"/>
      <c r="I52" s="511"/>
      <c r="J52" s="511"/>
      <c r="K52" s="511"/>
      <c r="L52" s="511"/>
    </row>
    <row r="53" spans="2:12" ht="15" customHeight="1" x14ac:dyDescent="0.25">
      <c r="B53" s="83"/>
    </row>
    <row r="54" spans="2:12" ht="15" customHeight="1" x14ac:dyDescent="0.25">
      <c r="B54" s="83"/>
      <c r="C54" s="254" t="s">
        <v>372</v>
      </c>
      <c r="E54" s="511" t="s">
        <v>378</v>
      </c>
      <c r="F54" s="511"/>
      <c r="G54" s="511"/>
      <c r="H54" s="511"/>
      <c r="I54" s="511"/>
      <c r="J54" s="511"/>
      <c r="K54" s="511"/>
      <c r="L54" s="511"/>
    </row>
    <row r="55" spans="2:12" ht="15" customHeight="1" x14ac:dyDescent="0.25">
      <c r="B55" s="83"/>
    </row>
    <row r="56" spans="2:12" ht="18.75" x14ac:dyDescent="0.3">
      <c r="B56" s="83"/>
      <c r="F56" s="261" t="s">
        <v>374</v>
      </c>
      <c r="L56" s="262" t="s">
        <v>375</v>
      </c>
    </row>
    <row r="57" spans="2:12" ht="15" customHeight="1" x14ac:dyDescent="0.25">
      <c r="B57" s="83"/>
    </row>
    <row r="58" spans="2:12" ht="15" customHeight="1" x14ac:dyDescent="0.25">
      <c r="B58" s="83"/>
    </row>
    <row r="59" spans="2:12" ht="15" customHeight="1" x14ac:dyDescent="0.25">
      <c r="B59" s="83"/>
    </row>
    <row r="60" spans="2:12" ht="15" customHeight="1" x14ac:dyDescent="0.25">
      <c r="B60" s="83"/>
    </row>
    <row r="61" spans="2:12" ht="15" customHeight="1" x14ac:dyDescent="0.25">
      <c r="B61" s="83"/>
    </row>
    <row r="62" spans="2:12" ht="15" customHeight="1" x14ac:dyDescent="0.25">
      <c r="B62" s="83"/>
    </row>
    <row r="63" spans="2:12" ht="15" customHeight="1" x14ac:dyDescent="0.25">
      <c r="B63" s="83"/>
    </row>
    <row r="64" spans="2:12" ht="15" customHeight="1" x14ac:dyDescent="0.25">
      <c r="B64" s="83"/>
    </row>
    <row r="65" spans="2:12" ht="15" customHeight="1" x14ac:dyDescent="0.25">
      <c r="B65" s="83"/>
    </row>
    <row r="66" spans="2:12" ht="15" customHeight="1" x14ac:dyDescent="0.25">
      <c r="B66" s="83"/>
    </row>
    <row r="67" spans="2:12" ht="48.75" customHeight="1" x14ac:dyDescent="0.25">
      <c r="B67" s="83"/>
      <c r="C67" s="520"/>
      <c r="D67" s="520"/>
      <c r="E67" s="520"/>
      <c r="F67" s="520"/>
      <c r="G67" s="520"/>
      <c r="H67" s="520"/>
      <c r="I67" s="520"/>
      <c r="J67" s="520"/>
      <c r="K67" s="520"/>
      <c r="L67" s="520"/>
    </row>
    <row r="68" spans="2:12" ht="18.75" customHeight="1" x14ac:dyDescent="0.25">
      <c r="B68" s="83"/>
      <c r="C68" s="520"/>
      <c r="D68" s="520"/>
      <c r="E68" s="520"/>
      <c r="F68" s="520"/>
      <c r="G68" s="520"/>
      <c r="H68" s="520"/>
      <c r="I68" s="520"/>
      <c r="J68" s="520"/>
      <c r="K68" s="520"/>
      <c r="L68" s="520"/>
    </row>
    <row r="69" spans="2:12" ht="33.75" customHeight="1" x14ac:dyDescent="0.25">
      <c r="B69" s="83"/>
      <c r="C69" s="254" t="s">
        <v>373</v>
      </c>
      <c r="E69" s="511" t="s">
        <v>379</v>
      </c>
      <c r="F69" s="511"/>
      <c r="G69" s="511"/>
      <c r="H69" s="511"/>
      <c r="I69" s="511"/>
      <c r="J69" s="511"/>
      <c r="K69" s="511"/>
      <c r="L69" s="511"/>
    </row>
    <row r="70" spans="2:12" ht="7.5" customHeight="1" x14ac:dyDescent="0.25">
      <c r="B70" s="83"/>
      <c r="C70" s="254"/>
      <c r="E70" s="260"/>
      <c r="F70" s="260"/>
      <c r="G70" s="260"/>
      <c r="H70" s="260"/>
      <c r="I70" s="260"/>
      <c r="J70" s="260"/>
      <c r="K70" s="260"/>
      <c r="L70" s="260"/>
    </row>
    <row r="71" spans="2:12" ht="48.75" customHeight="1" x14ac:dyDescent="0.25">
      <c r="B71" s="83"/>
      <c r="C71" s="254"/>
      <c r="E71" s="512" t="s">
        <v>184</v>
      </c>
      <c r="F71" s="512"/>
      <c r="G71" s="512"/>
      <c r="H71" s="512"/>
      <c r="I71" s="512"/>
      <c r="J71" s="512"/>
      <c r="K71" s="512"/>
      <c r="L71" s="512"/>
    </row>
    <row r="72" spans="2:12" ht="18.75" customHeight="1" x14ac:dyDescent="0.25">
      <c r="B72" s="83"/>
      <c r="C72" s="254"/>
      <c r="E72" s="512" t="s">
        <v>185</v>
      </c>
      <c r="F72" s="512"/>
      <c r="G72" s="512"/>
      <c r="H72" s="512"/>
      <c r="I72" s="512"/>
      <c r="J72" s="512"/>
      <c r="K72" s="512"/>
      <c r="L72" s="512"/>
    </row>
    <row r="73" spans="2:12" x14ac:dyDescent="0.25">
      <c r="B73" s="83"/>
    </row>
    <row r="74" spans="2:12" ht="18.75" hidden="1" x14ac:dyDescent="0.25">
      <c r="B74" s="517" t="s">
        <v>8</v>
      </c>
      <c r="C74" s="517"/>
      <c r="D74" s="517"/>
      <c r="E74" s="517"/>
      <c r="F74" s="517"/>
      <c r="G74" s="517"/>
      <c r="H74" s="517"/>
      <c r="I74" s="517"/>
      <c r="J74" s="517"/>
      <c r="K74" s="517"/>
      <c r="L74" s="517"/>
    </row>
    <row r="75" spans="2:12" ht="6" hidden="1" customHeight="1" x14ac:dyDescent="0.25">
      <c r="B75" s="141"/>
      <c r="C75" s="141"/>
      <c r="D75" s="141"/>
      <c r="E75" s="141"/>
      <c r="F75" s="141"/>
      <c r="G75" s="141"/>
      <c r="H75" s="141"/>
      <c r="I75" s="141"/>
      <c r="J75" s="141"/>
    </row>
    <row r="76" spans="2:12" ht="30" hidden="1" customHeight="1" x14ac:dyDescent="0.25">
      <c r="B76" s="520" t="s">
        <v>165</v>
      </c>
      <c r="C76" s="520"/>
      <c r="D76" s="520"/>
      <c r="E76" s="520"/>
      <c r="F76" s="520"/>
      <c r="G76" s="520"/>
      <c r="H76" s="520"/>
      <c r="I76" s="520"/>
      <c r="J76" s="520"/>
      <c r="K76" s="520"/>
      <c r="L76" s="520"/>
    </row>
    <row r="77" spans="2:12" hidden="1" x14ac:dyDescent="0.25"/>
    <row r="78" spans="2:12" ht="15.75" hidden="1" x14ac:dyDescent="0.25">
      <c r="C78" s="521" t="s">
        <v>166</v>
      </c>
      <c r="D78" s="521"/>
      <c r="E78" s="521"/>
      <c r="F78" s="521"/>
      <c r="G78" s="521"/>
      <c r="H78" s="521"/>
      <c r="I78" s="521"/>
      <c r="J78" s="521"/>
      <c r="K78" s="521"/>
      <c r="L78" s="521"/>
    </row>
    <row r="79" spans="2:12" ht="6" hidden="1" customHeight="1" x14ac:dyDescent="0.25"/>
    <row r="80" spans="2:12" ht="45" hidden="1" customHeight="1" x14ac:dyDescent="0.25">
      <c r="C80" s="520" t="s">
        <v>167</v>
      </c>
      <c r="D80" s="520"/>
      <c r="E80" s="520"/>
      <c r="F80" s="520"/>
      <c r="G80" s="520"/>
      <c r="H80" s="520"/>
      <c r="I80" s="520"/>
      <c r="J80" s="520"/>
      <c r="K80" s="520"/>
      <c r="L80" s="520"/>
    </row>
    <row r="81" spans="3:12" hidden="1" x14ac:dyDescent="0.25"/>
    <row r="82" spans="3:12" hidden="1" x14ac:dyDescent="0.25">
      <c r="D82" s="523" t="s">
        <v>168</v>
      </c>
      <c r="E82" s="523"/>
      <c r="F82" s="523"/>
      <c r="G82" s="523"/>
      <c r="H82" s="523"/>
      <c r="I82" s="523"/>
      <c r="J82" s="523"/>
      <c r="K82" s="523"/>
      <c r="L82" s="523"/>
    </row>
    <row r="83" spans="3:12" ht="6" hidden="1" customHeight="1" x14ac:dyDescent="0.25"/>
    <row r="84" spans="3:12" ht="33.75" hidden="1" customHeight="1" x14ac:dyDescent="0.25">
      <c r="D84" s="520" t="s">
        <v>169</v>
      </c>
      <c r="E84" s="520"/>
      <c r="F84" s="520"/>
      <c r="G84" s="520"/>
      <c r="H84" s="520"/>
      <c r="I84" s="520"/>
      <c r="J84" s="520"/>
      <c r="K84" s="520"/>
      <c r="L84" s="520"/>
    </row>
    <row r="85" spans="3:12" ht="33.75" hidden="1" customHeight="1" x14ac:dyDescent="0.25">
      <c r="D85" s="520" t="s">
        <v>170</v>
      </c>
      <c r="E85" s="520"/>
      <c r="F85" s="520"/>
      <c r="G85" s="520"/>
      <c r="H85" s="520"/>
      <c r="I85" s="520"/>
      <c r="J85" s="520"/>
      <c r="K85" s="520"/>
      <c r="L85" s="520"/>
    </row>
    <row r="86" spans="3:12" ht="63.75" hidden="1" customHeight="1" x14ac:dyDescent="0.25">
      <c r="D86" s="520" t="s">
        <v>171</v>
      </c>
      <c r="E86" s="520"/>
      <c r="F86" s="520"/>
      <c r="G86" s="520"/>
      <c r="H86" s="520"/>
      <c r="I86" s="520"/>
      <c r="J86" s="520"/>
      <c r="K86" s="520"/>
      <c r="L86" s="520"/>
    </row>
    <row r="87" spans="3:12" ht="30" hidden="1" customHeight="1" x14ac:dyDescent="0.25">
      <c r="D87" s="522" t="s">
        <v>172</v>
      </c>
      <c r="E87" s="522"/>
      <c r="F87" s="522"/>
      <c r="G87" s="522"/>
      <c r="H87" s="522"/>
      <c r="I87" s="522"/>
      <c r="J87" s="522"/>
      <c r="K87" s="522"/>
      <c r="L87" s="522"/>
    </row>
    <row r="88" spans="3:12" hidden="1" x14ac:dyDescent="0.25"/>
    <row r="89" spans="3:12" hidden="1" x14ac:dyDescent="0.25">
      <c r="D89" s="523" t="s">
        <v>173</v>
      </c>
      <c r="E89" s="523"/>
      <c r="F89" s="523"/>
      <c r="G89" s="523"/>
      <c r="H89" s="523"/>
      <c r="I89" s="523"/>
      <c r="J89" s="523"/>
      <c r="K89" s="523"/>
      <c r="L89" s="523"/>
    </row>
    <row r="90" spans="3:12" ht="6" hidden="1" customHeight="1" x14ac:dyDescent="0.25"/>
    <row r="91" spans="3:12" ht="78.75" hidden="1" customHeight="1" x14ac:dyDescent="0.25">
      <c r="D91" s="520" t="s">
        <v>174</v>
      </c>
      <c r="E91" s="520"/>
      <c r="F91" s="520"/>
      <c r="G91" s="520"/>
      <c r="H91" s="520"/>
      <c r="I91" s="520"/>
      <c r="J91" s="520"/>
      <c r="K91" s="520"/>
      <c r="L91" s="520"/>
    </row>
    <row r="92" spans="3:12" ht="48.75" hidden="1" customHeight="1" x14ac:dyDescent="0.25">
      <c r="D92" s="520" t="s">
        <v>175</v>
      </c>
      <c r="E92" s="520"/>
      <c r="F92" s="520"/>
      <c r="G92" s="520"/>
      <c r="H92" s="520"/>
      <c r="I92" s="520"/>
      <c r="J92" s="520"/>
      <c r="K92" s="520"/>
      <c r="L92" s="520"/>
    </row>
    <row r="93" spans="3:12" hidden="1" x14ac:dyDescent="0.25"/>
    <row r="94" spans="3:12" ht="15.75" hidden="1" x14ac:dyDescent="0.25">
      <c r="C94" s="521" t="s">
        <v>176</v>
      </c>
      <c r="D94" s="521"/>
      <c r="E94" s="521"/>
      <c r="F94" s="521"/>
      <c r="G94" s="521"/>
      <c r="H94" s="521"/>
      <c r="I94" s="521"/>
      <c r="J94" s="521"/>
      <c r="K94" s="521"/>
      <c r="L94" s="521"/>
    </row>
    <row r="95" spans="3:12" ht="6" hidden="1" customHeight="1" x14ac:dyDescent="0.25"/>
    <row r="96" spans="3:12" ht="60" hidden="1" customHeight="1" x14ac:dyDescent="0.25">
      <c r="C96" s="520" t="s">
        <v>177</v>
      </c>
      <c r="D96" s="520"/>
      <c r="E96" s="520"/>
      <c r="F96" s="520"/>
      <c r="G96" s="520"/>
      <c r="H96" s="520"/>
      <c r="I96" s="520"/>
      <c r="J96" s="520"/>
      <c r="K96" s="520"/>
      <c r="L96" s="520"/>
    </row>
    <row r="97" spans="2:12" hidden="1" x14ac:dyDescent="0.25"/>
    <row r="98" spans="2:12" hidden="1" x14ac:dyDescent="0.25">
      <c r="D98" s="523" t="s">
        <v>178</v>
      </c>
      <c r="E98" s="523"/>
      <c r="F98" s="523"/>
      <c r="G98" s="523"/>
      <c r="H98" s="523"/>
      <c r="I98" s="523"/>
      <c r="J98" s="523"/>
      <c r="K98" s="523"/>
      <c r="L98" s="523"/>
    </row>
    <row r="99" spans="2:12" ht="6" hidden="1" customHeight="1" x14ac:dyDescent="0.25"/>
    <row r="100" spans="2:12" ht="30" hidden="1" customHeight="1" x14ac:dyDescent="0.25">
      <c r="D100" s="520" t="s">
        <v>179</v>
      </c>
      <c r="E100" s="520"/>
      <c r="F100" s="520"/>
      <c r="G100" s="520"/>
      <c r="H100" s="520"/>
      <c r="I100" s="520"/>
      <c r="J100" s="520"/>
      <c r="K100" s="520"/>
      <c r="L100" s="520"/>
    </row>
    <row r="101" spans="2:12" hidden="1" x14ac:dyDescent="0.25"/>
    <row r="102" spans="2:12" hidden="1" x14ac:dyDescent="0.25">
      <c r="D102" s="523" t="s">
        <v>180</v>
      </c>
      <c r="E102" s="523"/>
      <c r="F102" s="523"/>
      <c r="G102" s="523"/>
      <c r="H102" s="523"/>
      <c r="I102" s="523"/>
      <c r="J102" s="523"/>
      <c r="K102" s="523"/>
      <c r="L102" s="523"/>
    </row>
    <row r="103" spans="2:12" ht="6" hidden="1" customHeight="1" x14ac:dyDescent="0.25"/>
    <row r="104" spans="2:12" ht="60" hidden="1" customHeight="1" x14ac:dyDescent="0.25">
      <c r="D104" s="520" t="s">
        <v>181</v>
      </c>
      <c r="E104" s="520"/>
      <c r="F104" s="520"/>
      <c r="G104" s="520"/>
      <c r="H104" s="520"/>
      <c r="I104" s="520"/>
      <c r="J104" s="520"/>
      <c r="K104" s="520"/>
      <c r="L104" s="520"/>
    </row>
    <row r="105" spans="2:12" hidden="1" x14ac:dyDescent="0.25"/>
    <row r="106" spans="2:12" hidden="1" x14ac:dyDescent="0.25">
      <c r="D106" s="523" t="s">
        <v>182</v>
      </c>
      <c r="E106" s="523"/>
      <c r="F106" s="523"/>
      <c r="G106" s="523"/>
      <c r="H106" s="523"/>
      <c r="I106" s="523"/>
      <c r="J106" s="523"/>
      <c r="K106" s="523"/>
      <c r="L106" s="523"/>
    </row>
    <row r="107" spans="2:12" ht="6" hidden="1" customHeight="1" x14ac:dyDescent="0.25"/>
    <row r="108" spans="2:12" ht="75" hidden="1" customHeight="1" x14ac:dyDescent="0.25">
      <c r="D108" s="520" t="s">
        <v>183</v>
      </c>
      <c r="E108" s="520"/>
      <c r="F108" s="520"/>
      <c r="G108" s="520"/>
      <c r="H108" s="520"/>
      <c r="I108" s="520"/>
      <c r="J108" s="520"/>
      <c r="K108" s="520"/>
      <c r="L108" s="520"/>
    </row>
    <row r="109" spans="2:12" ht="18.75" x14ac:dyDescent="0.25">
      <c r="B109" s="517" t="s">
        <v>8</v>
      </c>
      <c r="C109" s="517"/>
      <c r="D109" s="517"/>
      <c r="E109" s="517"/>
      <c r="F109" s="517"/>
      <c r="G109" s="517"/>
      <c r="H109" s="517"/>
      <c r="I109" s="517"/>
      <c r="J109" s="517"/>
      <c r="K109" s="517"/>
      <c r="L109" s="517"/>
    </row>
    <row r="110" spans="2:12" ht="6" customHeight="1" x14ac:dyDescent="0.25"/>
    <row r="111" spans="2:12" ht="52.5" customHeight="1" x14ac:dyDescent="0.25">
      <c r="B111" s="512" t="s">
        <v>390</v>
      </c>
      <c r="C111" s="512"/>
      <c r="D111" s="512"/>
      <c r="E111" s="512"/>
      <c r="F111" s="512"/>
      <c r="G111" s="512"/>
      <c r="H111" s="512"/>
      <c r="I111" s="512"/>
      <c r="J111" s="512"/>
      <c r="K111" s="512"/>
      <c r="L111" s="512"/>
    </row>
    <row r="112" spans="2:12" ht="22.5" customHeight="1" x14ac:dyDescent="0.25">
      <c r="B112" s="512" t="s">
        <v>401</v>
      </c>
      <c r="C112" s="512"/>
      <c r="D112" s="512"/>
      <c r="E112" s="512"/>
      <c r="F112" s="512"/>
      <c r="G112" s="512"/>
      <c r="H112" s="512"/>
      <c r="I112" s="512"/>
      <c r="J112" s="512"/>
      <c r="K112" s="512"/>
      <c r="L112" s="512"/>
    </row>
    <row r="114" spans="3:12" ht="15.75" x14ac:dyDescent="0.25">
      <c r="C114" s="521" t="s">
        <v>376</v>
      </c>
      <c r="D114" s="521"/>
      <c r="E114" s="521"/>
      <c r="F114" s="521"/>
      <c r="G114" s="521"/>
      <c r="H114" s="521"/>
      <c r="I114" s="521"/>
      <c r="J114" s="521"/>
      <c r="K114" s="521"/>
      <c r="L114" s="521"/>
    </row>
    <row r="115" spans="3:12" ht="6" customHeight="1" x14ac:dyDescent="0.25"/>
    <row r="116" spans="3:12" x14ac:dyDescent="0.25">
      <c r="C116" s="254" t="s">
        <v>380</v>
      </c>
      <c r="E116" s="511" t="s">
        <v>381</v>
      </c>
      <c r="F116" s="511"/>
      <c r="G116" s="511"/>
      <c r="H116" s="511"/>
      <c r="I116" s="511"/>
      <c r="J116" s="511"/>
      <c r="K116" s="511"/>
      <c r="L116" s="511"/>
    </row>
    <row r="117" spans="3:12" s="256" customFormat="1" ht="52.5" customHeight="1" x14ac:dyDescent="0.25">
      <c r="D117" s="259"/>
      <c r="E117" s="512" t="s">
        <v>187</v>
      </c>
      <c r="F117" s="512"/>
      <c r="G117" s="512"/>
      <c r="H117" s="512"/>
      <c r="I117" s="512"/>
      <c r="J117" s="512"/>
      <c r="K117" s="512"/>
      <c r="L117" s="512"/>
    </row>
    <row r="118" spans="3:12" ht="22.5" customHeight="1" x14ac:dyDescent="0.25">
      <c r="C118" s="560" t="s">
        <v>188</v>
      </c>
      <c r="D118" s="560"/>
      <c r="E118" s="560"/>
      <c r="F118" s="560"/>
      <c r="G118" s="560"/>
      <c r="H118" s="560"/>
      <c r="I118" s="560"/>
      <c r="J118" s="560"/>
      <c r="K118" s="560"/>
      <c r="L118" s="560"/>
    </row>
    <row r="119" spans="3:12" ht="33.75" customHeight="1" x14ac:dyDescent="0.25">
      <c r="D119" s="238"/>
      <c r="E119" s="520" t="s">
        <v>189</v>
      </c>
      <c r="F119" s="520"/>
      <c r="G119" s="520"/>
      <c r="H119" s="520"/>
      <c r="I119" s="520"/>
      <c r="J119" s="520"/>
      <c r="K119" s="520"/>
      <c r="L119" s="520"/>
    </row>
    <row r="120" spans="3:12" ht="144.75" customHeight="1" x14ac:dyDescent="0.25">
      <c r="C120" s="520"/>
      <c r="D120" s="520"/>
      <c r="E120" s="520"/>
      <c r="F120" s="520"/>
      <c r="G120" s="520"/>
      <c r="H120" s="520"/>
      <c r="I120" s="520"/>
      <c r="J120" s="520"/>
      <c r="K120" s="520"/>
      <c r="L120" s="520"/>
    </row>
    <row r="121" spans="3:12" ht="7.5" customHeight="1" x14ac:dyDescent="0.25">
      <c r="C121" s="520"/>
      <c r="D121" s="520"/>
      <c r="E121" s="520"/>
      <c r="F121" s="520"/>
      <c r="G121" s="520"/>
      <c r="H121" s="520"/>
      <c r="I121" s="520"/>
      <c r="J121" s="520"/>
      <c r="K121" s="520"/>
      <c r="L121" s="520"/>
    </row>
    <row r="122" spans="3:12" x14ac:dyDescent="0.25">
      <c r="C122" s="254" t="s">
        <v>382</v>
      </c>
      <c r="E122" s="511" t="s">
        <v>383</v>
      </c>
      <c r="F122" s="511"/>
      <c r="G122" s="511"/>
      <c r="H122" s="511"/>
      <c r="I122" s="511"/>
      <c r="J122" s="511"/>
      <c r="K122" s="511"/>
      <c r="L122" s="511"/>
    </row>
    <row r="123" spans="3:12" ht="37.5" customHeight="1" x14ac:dyDescent="0.25">
      <c r="C123" s="142"/>
      <c r="E123" s="512" t="s">
        <v>385</v>
      </c>
      <c r="F123" s="512"/>
      <c r="G123" s="512"/>
      <c r="H123" s="512"/>
      <c r="I123" s="512"/>
      <c r="J123" s="512"/>
      <c r="K123" s="512"/>
      <c r="L123" s="512"/>
    </row>
    <row r="124" spans="3:12" ht="7.5" customHeight="1" x14ac:dyDescent="0.25">
      <c r="C124" s="142"/>
      <c r="D124" s="142"/>
      <c r="E124" s="142"/>
      <c r="F124" s="142"/>
      <c r="G124" s="142"/>
      <c r="H124" s="142"/>
      <c r="I124" s="142"/>
      <c r="J124" s="142"/>
      <c r="K124" s="142"/>
      <c r="L124" s="142"/>
    </row>
    <row r="125" spans="3:12" x14ac:dyDescent="0.25">
      <c r="C125" s="254" t="s">
        <v>384</v>
      </c>
      <c r="E125" s="511" t="s">
        <v>387</v>
      </c>
      <c r="F125" s="511"/>
      <c r="G125" s="511"/>
      <c r="H125" s="511"/>
      <c r="I125" s="511"/>
      <c r="J125" s="511"/>
      <c r="K125" s="511"/>
      <c r="L125" s="511"/>
    </row>
    <row r="126" spans="3:12" ht="37.5" customHeight="1" x14ac:dyDescent="0.25">
      <c r="C126" s="142"/>
      <c r="E126" s="512" t="s">
        <v>386</v>
      </c>
      <c r="F126" s="512"/>
      <c r="G126" s="512"/>
      <c r="H126" s="512"/>
      <c r="I126" s="512"/>
      <c r="J126" s="512"/>
      <c r="K126" s="512"/>
      <c r="L126" s="512"/>
    </row>
    <row r="127" spans="3:12" ht="7.5" customHeight="1" x14ac:dyDescent="0.25">
      <c r="C127" s="142"/>
      <c r="D127" s="142"/>
      <c r="E127" s="142"/>
      <c r="F127" s="142"/>
      <c r="G127" s="142"/>
      <c r="H127" s="142"/>
      <c r="I127" s="142"/>
      <c r="J127" s="142"/>
      <c r="K127" s="142"/>
      <c r="L127" s="142"/>
    </row>
    <row r="128" spans="3:12" x14ac:dyDescent="0.25">
      <c r="C128" s="254" t="s">
        <v>388</v>
      </c>
      <c r="E128" s="511" t="s">
        <v>389</v>
      </c>
      <c r="F128" s="511"/>
      <c r="G128" s="511"/>
      <c r="H128" s="511"/>
      <c r="I128" s="511"/>
      <c r="J128" s="511"/>
      <c r="K128" s="511"/>
      <c r="L128" s="511"/>
    </row>
    <row r="129" spans="2:12" ht="37.5" customHeight="1" x14ac:dyDescent="0.25">
      <c r="D129" s="238"/>
      <c r="E129" s="512" t="s">
        <v>190</v>
      </c>
      <c r="F129" s="512"/>
      <c r="G129" s="512"/>
      <c r="H129" s="512"/>
      <c r="I129" s="512"/>
      <c r="J129" s="512"/>
      <c r="K129" s="512"/>
      <c r="L129" s="512"/>
    </row>
    <row r="130" spans="2:12" x14ac:dyDescent="0.25">
      <c r="C130" s="142"/>
      <c r="D130" s="142"/>
      <c r="E130" s="142"/>
      <c r="F130" s="142"/>
      <c r="G130" s="142"/>
      <c r="H130" s="142"/>
      <c r="I130" s="142"/>
      <c r="J130" s="142"/>
      <c r="K130" s="142"/>
      <c r="L130" s="142"/>
    </row>
    <row r="131" spans="2:12" x14ac:dyDescent="0.25">
      <c r="C131" s="142"/>
      <c r="D131" s="142"/>
      <c r="E131" s="142"/>
      <c r="F131" s="142"/>
      <c r="G131" s="142"/>
      <c r="H131" s="142"/>
      <c r="I131" s="142"/>
      <c r="J131" s="142"/>
      <c r="K131" s="142"/>
      <c r="L131" s="142"/>
    </row>
    <row r="132" spans="2:12" ht="19.5" customHeight="1" x14ac:dyDescent="0.25">
      <c r="C132" s="142"/>
      <c r="D132" s="142"/>
      <c r="E132" s="142"/>
      <c r="F132" s="142"/>
      <c r="G132" s="142"/>
      <c r="H132" s="142"/>
      <c r="I132" s="142"/>
      <c r="J132" s="142"/>
      <c r="K132" s="142"/>
      <c r="L132" s="142"/>
    </row>
    <row r="133" spans="2:12" ht="37.5" customHeight="1" x14ac:dyDescent="0.25">
      <c r="D133" s="238"/>
      <c r="E133" s="512" t="s">
        <v>191</v>
      </c>
      <c r="F133" s="512"/>
      <c r="G133" s="512"/>
      <c r="H133" s="512"/>
      <c r="I133" s="512"/>
      <c r="J133" s="512"/>
      <c r="K133" s="512"/>
      <c r="L133" s="512"/>
    </row>
    <row r="135" spans="2:12" ht="18.75" x14ac:dyDescent="0.25">
      <c r="B135" s="517" t="s">
        <v>210</v>
      </c>
      <c r="C135" s="517"/>
      <c r="D135" s="517"/>
      <c r="E135" s="517"/>
      <c r="F135" s="517"/>
      <c r="G135" s="517"/>
      <c r="H135" s="517"/>
      <c r="I135" s="517"/>
      <c r="J135" s="517"/>
      <c r="K135" s="517"/>
      <c r="L135" s="517"/>
    </row>
    <row r="136" spans="2:12" ht="6" customHeight="1" x14ac:dyDescent="0.25"/>
    <row r="137" spans="2:12" ht="37.5" customHeight="1" x14ac:dyDescent="0.25">
      <c r="B137" s="512" t="s">
        <v>394</v>
      </c>
      <c r="C137" s="512"/>
      <c r="D137" s="512"/>
      <c r="E137" s="512"/>
      <c r="F137" s="512"/>
      <c r="G137" s="512"/>
      <c r="H137" s="512"/>
      <c r="I137" s="512"/>
      <c r="J137" s="512"/>
      <c r="K137" s="512"/>
      <c r="L137" s="512"/>
    </row>
    <row r="138" spans="2:12" ht="37.5" customHeight="1" x14ac:dyDescent="0.25">
      <c r="B138" s="512" t="s">
        <v>402</v>
      </c>
      <c r="C138" s="512"/>
      <c r="D138" s="512"/>
      <c r="E138" s="512"/>
      <c r="F138" s="512"/>
      <c r="G138" s="512"/>
      <c r="H138" s="512"/>
      <c r="I138" s="512"/>
      <c r="J138" s="512"/>
      <c r="K138" s="512"/>
      <c r="L138" s="512"/>
    </row>
    <row r="140" spans="2:12" ht="15.75" x14ac:dyDescent="0.25">
      <c r="C140" s="521" t="s">
        <v>396</v>
      </c>
      <c r="D140" s="521"/>
      <c r="E140" s="521"/>
      <c r="F140" s="521"/>
      <c r="G140" s="521"/>
      <c r="H140" s="521"/>
      <c r="I140" s="521"/>
      <c r="J140" s="521"/>
      <c r="K140" s="521"/>
      <c r="L140" s="521"/>
    </row>
    <row r="141" spans="2:12" ht="6" customHeight="1" x14ac:dyDescent="0.25"/>
    <row r="142" spans="2:12" x14ac:dyDescent="0.25">
      <c r="C142" s="254" t="s">
        <v>397</v>
      </c>
      <c r="E142" s="511" t="s">
        <v>398</v>
      </c>
      <c r="F142" s="511"/>
      <c r="G142" s="511"/>
      <c r="H142" s="511"/>
      <c r="I142" s="511"/>
      <c r="J142" s="511"/>
      <c r="K142" s="511"/>
      <c r="L142" s="511"/>
    </row>
    <row r="143" spans="2:12" ht="37.5" customHeight="1" x14ac:dyDescent="0.25">
      <c r="E143" s="512" t="s">
        <v>395</v>
      </c>
      <c r="F143" s="512"/>
      <c r="G143" s="512"/>
      <c r="H143" s="512"/>
      <c r="I143" s="512"/>
      <c r="J143" s="512"/>
      <c r="K143" s="512"/>
      <c r="L143" s="512"/>
    </row>
    <row r="144" spans="2:12" ht="52.5" customHeight="1" x14ac:dyDescent="0.25">
      <c r="E144" s="512" t="s">
        <v>403</v>
      </c>
      <c r="F144" s="512"/>
      <c r="G144" s="512"/>
      <c r="H144" s="512"/>
      <c r="I144" s="512"/>
      <c r="J144" s="512"/>
      <c r="K144" s="512"/>
      <c r="L144" s="512"/>
    </row>
    <row r="146" spans="3:12" x14ac:dyDescent="0.25">
      <c r="C146" s="254" t="s">
        <v>393</v>
      </c>
      <c r="E146" s="511" t="s">
        <v>399</v>
      </c>
      <c r="F146" s="511"/>
      <c r="G146" s="511"/>
      <c r="H146" s="511"/>
      <c r="I146" s="511"/>
      <c r="J146" s="511"/>
      <c r="K146" s="511"/>
      <c r="L146" s="511"/>
    </row>
    <row r="162" spans="2:12" ht="18.75" x14ac:dyDescent="0.25">
      <c r="B162" s="517" t="s">
        <v>192</v>
      </c>
      <c r="C162" s="517"/>
      <c r="D162" s="517"/>
      <c r="E162" s="517"/>
      <c r="F162" s="517"/>
      <c r="G162" s="517"/>
      <c r="H162" s="517"/>
      <c r="I162" s="517"/>
      <c r="J162" s="517"/>
      <c r="K162" s="517"/>
      <c r="L162" s="517"/>
    </row>
    <row r="163" spans="2:12" ht="6" customHeight="1" x14ac:dyDescent="0.25">
      <c r="B163" s="141"/>
      <c r="C163" s="141"/>
      <c r="D163" s="141"/>
      <c r="E163" s="141"/>
      <c r="F163" s="141"/>
      <c r="G163" s="141"/>
      <c r="H163" s="141"/>
      <c r="I163" s="141"/>
      <c r="J163" s="141"/>
    </row>
    <row r="164" spans="2:12" ht="37.5" customHeight="1" x14ac:dyDescent="0.25">
      <c r="B164" s="512" t="s">
        <v>193</v>
      </c>
      <c r="C164" s="512"/>
      <c r="D164" s="512"/>
      <c r="E164" s="512"/>
      <c r="F164" s="512"/>
      <c r="G164" s="512"/>
      <c r="H164" s="512"/>
      <c r="I164" s="512"/>
      <c r="J164" s="512"/>
      <c r="K164" s="512"/>
      <c r="L164" s="512"/>
    </row>
    <row r="165" spans="2:12" ht="37.5" customHeight="1" x14ac:dyDescent="0.25">
      <c r="B165" s="512" t="s">
        <v>194</v>
      </c>
      <c r="C165" s="512"/>
      <c r="D165" s="512"/>
      <c r="E165" s="512"/>
      <c r="F165" s="512"/>
      <c r="G165" s="512"/>
      <c r="H165" s="512"/>
      <c r="I165" s="512"/>
      <c r="J165" s="512"/>
      <c r="K165" s="512"/>
      <c r="L165" s="512"/>
    </row>
    <row r="166" spans="2:12" ht="15.75" x14ac:dyDescent="0.25">
      <c r="B166" s="238"/>
      <c r="C166" s="521" t="s">
        <v>391</v>
      </c>
      <c r="D166" s="521"/>
      <c r="E166" s="521"/>
      <c r="F166" s="521"/>
      <c r="G166" s="521"/>
      <c r="H166" s="521"/>
      <c r="I166" s="521"/>
      <c r="J166" s="521"/>
      <c r="K166" s="521"/>
      <c r="L166" s="521"/>
    </row>
    <row r="167" spans="2:12" ht="6" customHeight="1" x14ac:dyDescent="0.25"/>
    <row r="168" spans="2:12" x14ac:dyDescent="0.25">
      <c r="C168" s="254" t="s">
        <v>404</v>
      </c>
      <c r="E168" s="511" t="s">
        <v>392</v>
      </c>
      <c r="F168" s="511"/>
      <c r="G168" s="511"/>
      <c r="H168" s="511"/>
      <c r="I168" s="511"/>
      <c r="J168" s="511"/>
      <c r="K168" s="511"/>
      <c r="L168" s="511"/>
    </row>
    <row r="170" spans="2:12" ht="15.75" x14ac:dyDescent="0.25">
      <c r="D170" s="263"/>
      <c r="E170" s="518" t="s">
        <v>195</v>
      </c>
      <c r="F170" s="518"/>
      <c r="G170" s="518"/>
      <c r="H170" s="518"/>
      <c r="I170" s="518"/>
      <c r="J170" s="518"/>
      <c r="K170" s="518"/>
      <c r="L170" s="518"/>
    </row>
    <row r="171" spans="2:12" ht="6" customHeight="1" x14ac:dyDescent="0.25"/>
    <row r="172" spans="2:12" ht="33.75" customHeight="1" x14ac:dyDescent="0.25">
      <c r="D172" s="238"/>
      <c r="E172" s="512" t="s">
        <v>196</v>
      </c>
      <c r="F172" s="512"/>
      <c r="G172" s="512"/>
      <c r="H172" s="512"/>
      <c r="I172" s="512"/>
      <c r="J172" s="512"/>
      <c r="K172" s="512"/>
      <c r="L172" s="512"/>
    </row>
    <row r="173" spans="2:12" ht="108.75" customHeight="1" x14ac:dyDescent="0.25">
      <c r="D173" s="238"/>
      <c r="E173" s="512" t="s">
        <v>197</v>
      </c>
      <c r="F173" s="512"/>
      <c r="G173" s="512"/>
      <c r="H173" s="512"/>
      <c r="I173" s="512"/>
      <c r="J173" s="512"/>
      <c r="K173" s="512"/>
      <c r="L173" s="512"/>
    </row>
    <row r="175" spans="2:12" ht="15.75" x14ac:dyDescent="0.25">
      <c r="D175" s="263"/>
      <c r="E175" s="518" t="s">
        <v>198</v>
      </c>
      <c r="F175" s="518"/>
      <c r="G175" s="518"/>
      <c r="H175" s="518"/>
      <c r="I175" s="518"/>
      <c r="J175" s="518"/>
      <c r="K175" s="518"/>
      <c r="L175" s="518"/>
    </row>
    <row r="176" spans="2:12" ht="6" customHeight="1" x14ac:dyDescent="0.25"/>
    <row r="177" spans="2:12" ht="33.75" customHeight="1" x14ac:dyDescent="0.25">
      <c r="D177" s="238"/>
      <c r="E177" s="512" t="s">
        <v>199</v>
      </c>
      <c r="F177" s="512"/>
      <c r="G177" s="512"/>
      <c r="H177" s="512"/>
      <c r="I177" s="512"/>
      <c r="J177" s="512"/>
      <c r="K177" s="512"/>
      <c r="L177" s="512"/>
    </row>
    <row r="178" spans="2:12" ht="63.75" customHeight="1" x14ac:dyDescent="0.25">
      <c r="D178" s="238"/>
      <c r="E178" s="512" t="s">
        <v>200</v>
      </c>
      <c r="F178" s="512"/>
      <c r="G178" s="512"/>
      <c r="H178" s="512"/>
      <c r="I178" s="512"/>
      <c r="J178" s="512"/>
      <c r="K178" s="512"/>
      <c r="L178" s="512"/>
    </row>
    <row r="180" spans="2:12" ht="15.75" x14ac:dyDescent="0.25">
      <c r="D180" s="263"/>
      <c r="E180" s="518" t="s">
        <v>201</v>
      </c>
      <c r="F180" s="518"/>
      <c r="G180" s="518"/>
      <c r="H180" s="518"/>
      <c r="I180" s="518"/>
      <c r="J180" s="518"/>
      <c r="K180" s="518"/>
      <c r="L180" s="518"/>
    </row>
    <row r="181" spans="2:12" ht="6" customHeight="1" x14ac:dyDescent="0.25"/>
    <row r="182" spans="2:12" ht="48.75" customHeight="1" x14ac:dyDescent="0.25">
      <c r="D182" s="238"/>
      <c r="E182" s="512" t="s">
        <v>202</v>
      </c>
      <c r="F182" s="512"/>
      <c r="G182" s="512"/>
      <c r="H182" s="512"/>
      <c r="I182" s="512"/>
      <c r="J182" s="512"/>
      <c r="K182" s="512"/>
      <c r="L182" s="512"/>
    </row>
    <row r="183" spans="2:12" ht="135" customHeight="1" x14ac:dyDescent="0.25">
      <c r="D183" s="238"/>
      <c r="E183" s="512" t="s">
        <v>203</v>
      </c>
      <c r="F183" s="512"/>
      <c r="G183" s="512"/>
      <c r="H183" s="512"/>
      <c r="I183" s="512"/>
      <c r="J183" s="512"/>
      <c r="K183" s="512"/>
      <c r="L183" s="512"/>
    </row>
    <row r="185" spans="2:12" ht="18.75" x14ac:dyDescent="0.25">
      <c r="B185" s="517" t="s">
        <v>417</v>
      </c>
      <c r="C185" s="517"/>
      <c r="D185" s="517"/>
      <c r="E185" s="517"/>
      <c r="F185" s="517"/>
      <c r="G185" s="517"/>
      <c r="H185" s="517"/>
      <c r="I185" s="517"/>
      <c r="J185" s="517"/>
      <c r="K185" s="517"/>
      <c r="L185" s="517"/>
    </row>
    <row r="186" spans="2:12" ht="6" customHeight="1" x14ac:dyDescent="0.25"/>
    <row r="189" spans="2:12" ht="15.75" x14ac:dyDescent="0.25">
      <c r="C189" s="521" t="s">
        <v>427</v>
      </c>
      <c r="D189" s="521"/>
      <c r="E189" s="521"/>
      <c r="F189" s="521"/>
      <c r="G189" s="521"/>
      <c r="H189" s="521"/>
      <c r="I189" s="521"/>
      <c r="J189" s="521"/>
      <c r="K189" s="521"/>
      <c r="L189" s="521"/>
    </row>
    <row r="190" spans="2:12" ht="6" customHeight="1" x14ac:dyDescent="0.25"/>
    <row r="191" spans="2:12" x14ac:dyDescent="0.25">
      <c r="C191" s="254" t="s">
        <v>428</v>
      </c>
      <c r="E191" s="511" t="s">
        <v>429</v>
      </c>
      <c r="F191" s="511"/>
      <c r="G191" s="511"/>
      <c r="H191" s="511"/>
      <c r="I191" s="511"/>
      <c r="J191" s="511"/>
      <c r="K191" s="511"/>
      <c r="L191" s="511"/>
    </row>
    <row r="192" spans="2:12" ht="37.5" customHeight="1" x14ac:dyDescent="0.25">
      <c r="E192" s="512" t="s">
        <v>430</v>
      </c>
      <c r="F192" s="512"/>
      <c r="G192" s="512"/>
      <c r="H192" s="512"/>
      <c r="I192" s="512"/>
      <c r="J192" s="512"/>
      <c r="K192" s="512"/>
      <c r="L192" s="512"/>
    </row>
    <row r="204" spans="3:12" x14ac:dyDescent="0.25">
      <c r="C204" s="254" t="s">
        <v>431</v>
      </c>
      <c r="E204" s="511" t="s">
        <v>432</v>
      </c>
      <c r="F204" s="511"/>
      <c r="G204" s="511"/>
      <c r="H204" s="511"/>
      <c r="I204" s="511"/>
      <c r="J204" s="511"/>
      <c r="K204" s="511"/>
      <c r="L204" s="511"/>
    </row>
    <row r="205" spans="3:12" ht="37.5" customHeight="1" x14ac:dyDescent="0.25">
      <c r="E205" s="512" t="s">
        <v>440</v>
      </c>
      <c r="F205" s="512"/>
      <c r="G205" s="512"/>
      <c r="H205" s="512"/>
      <c r="I205" s="512"/>
      <c r="J205" s="512"/>
      <c r="K205" s="512"/>
      <c r="L205" s="512"/>
    </row>
    <row r="206" spans="3:12" ht="33.75" customHeight="1" x14ac:dyDescent="0.25">
      <c r="E206" s="513" t="s">
        <v>419</v>
      </c>
      <c r="F206" s="514"/>
      <c r="G206" s="515" t="s">
        <v>433</v>
      </c>
      <c r="H206" s="515"/>
      <c r="I206" s="515"/>
      <c r="J206" s="515"/>
      <c r="K206" s="515"/>
      <c r="L206" s="516"/>
    </row>
    <row r="207" spans="3:12" ht="33.75" customHeight="1" x14ac:dyDescent="0.25">
      <c r="E207" s="503" t="s">
        <v>420</v>
      </c>
      <c r="F207" s="504"/>
      <c r="G207" s="505" t="s">
        <v>434</v>
      </c>
      <c r="H207" s="505"/>
      <c r="I207" s="505"/>
      <c r="J207" s="505"/>
      <c r="K207" s="505"/>
      <c r="L207" s="506"/>
    </row>
    <row r="208" spans="3:12" ht="33.75" customHeight="1" x14ac:dyDescent="0.25">
      <c r="E208" s="503" t="s">
        <v>421</v>
      </c>
      <c r="F208" s="504"/>
      <c r="G208" s="505" t="s">
        <v>435</v>
      </c>
      <c r="H208" s="505"/>
      <c r="I208" s="505"/>
      <c r="J208" s="505"/>
      <c r="K208" s="505"/>
      <c r="L208" s="506"/>
    </row>
    <row r="209" spans="5:12" ht="33.75" customHeight="1" x14ac:dyDescent="0.25">
      <c r="E209" s="503" t="s">
        <v>233</v>
      </c>
      <c r="F209" s="504"/>
      <c r="G209" s="505" t="s">
        <v>436</v>
      </c>
      <c r="H209" s="505"/>
      <c r="I209" s="505"/>
      <c r="J209" s="505"/>
      <c r="K209" s="505"/>
      <c r="L209" s="506"/>
    </row>
    <row r="210" spans="5:12" ht="33.75" customHeight="1" x14ac:dyDescent="0.25">
      <c r="E210" s="507" t="s">
        <v>422</v>
      </c>
      <c r="F210" s="508"/>
      <c r="G210" s="509" t="s">
        <v>437</v>
      </c>
      <c r="H210" s="509"/>
      <c r="I210" s="509"/>
      <c r="J210" s="509"/>
      <c r="K210" s="509"/>
      <c r="L210" s="510"/>
    </row>
    <row r="211" spans="5:12" ht="33.75" customHeight="1" x14ac:dyDescent="0.25">
      <c r="E211" s="507" t="s">
        <v>423</v>
      </c>
      <c r="F211" s="508"/>
      <c r="G211" s="509" t="s">
        <v>438</v>
      </c>
      <c r="H211" s="509"/>
      <c r="I211" s="509"/>
      <c r="J211" s="509"/>
      <c r="K211" s="509"/>
      <c r="L211" s="510"/>
    </row>
    <row r="212" spans="5:12" ht="33.75" customHeight="1" x14ac:dyDescent="0.25">
      <c r="E212" s="507" t="s">
        <v>424</v>
      </c>
      <c r="F212" s="508"/>
      <c r="G212" s="509" t="s">
        <v>439</v>
      </c>
      <c r="H212" s="509"/>
      <c r="I212" s="509"/>
      <c r="J212" s="509"/>
      <c r="K212" s="509"/>
      <c r="L212" s="510"/>
    </row>
  </sheetData>
  <sheetProtection sheet="1" objects="1" scenarios="1"/>
  <mergeCells count="125">
    <mergeCell ref="E21:F21"/>
    <mergeCell ref="E20:F20"/>
    <mergeCell ref="G20:L20"/>
    <mergeCell ref="B135:L135"/>
    <mergeCell ref="C166:L166"/>
    <mergeCell ref="B137:L137"/>
    <mergeCell ref="B138:L138"/>
    <mergeCell ref="C140:L140"/>
    <mergeCell ref="E142:L142"/>
    <mergeCell ref="E143:L143"/>
    <mergeCell ref="E144:L144"/>
    <mergeCell ref="E146:L146"/>
    <mergeCell ref="B165:L165"/>
    <mergeCell ref="C120:L120"/>
    <mergeCell ref="E122:L122"/>
    <mergeCell ref="E125:L125"/>
    <mergeCell ref="E123:L123"/>
    <mergeCell ref="E129:L129"/>
    <mergeCell ref="E133:L133"/>
    <mergeCell ref="C118:L118"/>
    <mergeCell ref="E52:L52"/>
    <mergeCell ref="E54:L54"/>
    <mergeCell ref="E69:L69"/>
    <mergeCell ref="E71:L71"/>
    <mergeCell ref="B4:L4"/>
    <mergeCell ref="C8:L8"/>
    <mergeCell ref="E16:F16"/>
    <mergeCell ref="E15:F15"/>
    <mergeCell ref="E14:F14"/>
    <mergeCell ref="E13:F13"/>
    <mergeCell ref="E12:F12"/>
    <mergeCell ref="G12:L12"/>
    <mergeCell ref="G13:L13"/>
    <mergeCell ref="G14:L14"/>
    <mergeCell ref="G15:L15"/>
    <mergeCell ref="G16:L16"/>
    <mergeCell ref="E72:L72"/>
    <mergeCell ref="D82:L82"/>
    <mergeCell ref="D84:L84"/>
    <mergeCell ref="D85:L85"/>
    <mergeCell ref="D86:L86"/>
    <mergeCell ref="D91:L91"/>
    <mergeCell ref="D92:L92"/>
    <mergeCell ref="B109:L109"/>
    <mergeCell ref="B111:L111"/>
    <mergeCell ref="C80:L80"/>
    <mergeCell ref="B112:L112"/>
    <mergeCell ref="B2:L2"/>
    <mergeCell ref="B40:L40"/>
    <mergeCell ref="B39:L39"/>
    <mergeCell ref="B38:L38"/>
    <mergeCell ref="B36:L36"/>
    <mergeCell ref="D43:L43"/>
    <mergeCell ref="C50:L50"/>
    <mergeCell ref="C67:L67"/>
    <mergeCell ref="D41:L41"/>
    <mergeCell ref="G21:L21"/>
    <mergeCell ref="G22:L22"/>
    <mergeCell ref="D45:E45"/>
    <mergeCell ref="F45:G45"/>
    <mergeCell ref="H45:L45"/>
    <mergeCell ref="F48:G48"/>
    <mergeCell ref="D48:E48"/>
    <mergeCell ref="F47:G47"/>
    <mergeCell ref="D47:E47"/>
    <mergeCell ref="F46:G46"/>
    <mergeCell ref="D46:E46"/>
    <mergeCell ref="H46:L46"/>
    <mergeCell ref="H47:L47"/>
    <mergeCell ref="H48:L48"/>
    <mergeCell ref="E22:F22"/>
    <mergeCell ref="B6:L6"/>
    <mergeCell ref="C189:L189"/>
    <mergeCell ref="D87:L87"/>
    <mergeCell ref="E117:L117"/>
    <mergeCell ref="E119:L119"/>
    <mergeCell ref="C68:L68"/>
    <mergeCell ref="D100:L100"/>
    <mergeCell ref="D102:L102"/>
    <mergeCell ref="D104:L104"/>
    <mergeCell ref="D106:L106"/>
    <mergeCell ref="D108:L108"/>
    <mergeCell ref="C114:L114"/>
    <mergeCell ref="D89:L89"/>
    <mergeCell ref="C78:L78"/>
    <mergeCell ref="B74:L74"/>
    <mergeCell ref="B76:L76"/>
    <mergeCell ref="C121:L121"/>
    <mergeCell ref="E126:L126"/>
    <mergeCell ref="E128:L128"/>
    <mergeCell ref="C94:L94"/>
    <mergeCell ref="C96:L96"/>
    <mergeCell ref="D98:L98"/>
    <mergeCell ref="E116:L116"/>
    <mergeCell ref="E191:L191"/>
    <mergeCell ref="E192:L192"/>
    <mergeCell ref="E204:L204"/>
    <mergeCell ref="E206:F206"/>
    <mergeCell ref="G206:L206"/>
    <mergeCell ref="E207:F207"/>
    <mergeCell ref="G207:L207"/>
    <mergeCell ref="E205:L205"/>
    <mergeCell ref="B162:L162"/>
    <mergeCell ref="B164:L164"/>
    <mergeCell ref="E175:L175"/>
    <mergeCell ref="E170:L170"/>
    <mergeCell ref="E183:L183"/>
    <mergeCell ref="E182:L182"/>
    <mergeCell ref="E178:L178"/>
    <mergeCell ref="E177:L177"/>
    <mergeCell ref="E173:L173"/>
    <mergeCell ref="E172:L172"/>
    <mergeCell ref="E180:L180"/>
    <mergeCell ref="E168:L168"/>
    <mergeCell ref="B185:L185"/>
    <mergeCell ref="E208:F208"/>
    <mergeCell ref="G208:L208"/>
    <mergeCell ref="E209:F209"/>
    <mergeCell ref="G209:L209"/>
    <mergeCell ref="E210:F210"/>
    <mergeCell ref="G210:L210"/>
    <mergeCell ref="E211:F211"/>
    <mergeCell ref="G211:L211"/>
    <mergeCell ref="E212:F212"/>
    <mergeCell ref="G212:L212"/>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B8D2F-656E-48F7-8430-16C7CFB793DA}">
  <dimension ref="A1:Q171"/>
  <sheetViews>
    <sheetView showGridLines="0" zoomScale="90" zoomScaleNormal="90" workbookViewId="0">
      <selection activeCell="H14" sqref="H14"/>
    </sheetView>
  </sheetViews>
  <sheetFormatPr defaultColWidth="8.85546875" defaultRowHeight="15" x14ac:dyDescent="0.25"/>
  <cols>
    <col min="1" max="1" width="3.42578125" style="141" customWidth="1"/>
    <col min="6" max="6" width="15.7109375" customWidth="1"/>
    <col min="7" max="7" width="2" bestFit="1" customWidth="1"/>
    <col min="8" max="8" width="15.7109375" customWidth="1"/>
    <col min="9" max="9" width="2" bestFit="1" customWidth="1"/>
    <col min="10" max="14" width="10.28515625" customWidth="1"/>
    <col min="15" max="15" width="3" hidden="1" customWidth="1"/>
    <col min="16" max="17" width="9.140625" hidden="1" customWidth="1"/>
  </cols>
  <sheetData>
    <row r="1" spans="2:17" ht="15.75" thickBot="1" x14ac:dyDescent="0.3"/>
    <row r="2" spans="2:17" ht="15" customHeight="1" x14ac:dyDescent="0.25">
      <c r="B2" s="727" t="s">
        <v>417</v>
      </c>
      <c r="C2" s="728"/>
      <c r="D2" s="728"/>
      <c r="E2" s="728"/>
      <c r="F2" s="728"/>
      <c r="G2" s="940" t="str">
        <f>Overview!D5</f>
        <v>Cool PKI</v>
      </c>
      <c r="H2" s="940"/>
      <c r="I2" s="940"/>
      <c r="J2" s="940"/>
      <c r="K2" s="146"/>
      <c r="L2" s="146"/>
      <c r="M2" s="146"/>
      <c r="N2" s="147"/>
    </row>
    <row r="3" spans="2:17" ht="15" customHeight="1" x14ac:dyDescent="0.25">
      <c r="B3" s="729"/>
      <c r="C3" s="730"/>
      <c r="D3" s="730"/>
      <c r="E3" s="730"/>
      <c r="F3" s="730"/>
      <c r="G3" s="941"/>
      <c r="H3" s="941"/>
      <c r="I3" s="941"/>
      <c r="J3" s="941"/>
      <c r="K3" s="932" t="str">
        <f ca="1">_xlfn.CONCAT("Duration of the assessment: ",TODAY()-Overview!D7," days     ")</f>
        <v xml:space="preserve">Duration of the assessment: 321 days     </v>
      </c>
      <c r="L3" s="932"/>
      <c r="M3" s="932"/>
      <c r="N3" s="933"/>
    </row>
    <row r="4" spans="2:17" ht="15" customHeight="1" x14ac:dyDescent="0.25">
      <c r="B4" s="729"/>
      <c r="C4" s="730"/>
      <c r="D4" s="730"/>
      <c r="E4" s="730"/>
      <c r="F4" s="730"/>
      <c r="G4" s="941"/>
      <c r="H4" s="941"/>
      <c r="I4" s="941"/>
      <c r="J4" s="941"/>
      <c r="K4" s="932" t="str">
        <f ca="1">IF(Overview!D9&lt;&gt;"","The assessment has been finished     ",IF(Overview!D8&gt;=TODAY(),_xlfn.CONCAT("Remaining time to the target date: ",Overview!D8-TODAY()," days     "),_xlfn.CONCAT("Overrunning the target date by: ",TODAY()-Overview!D8," days     ")))</f>
        <v xml:space="preserve">The assessment has been finished     </v>
      </c>
      <c r="L4" s="932"/>
      <c r="M4" s="932"/>
      <c r="N4" s="933"/>
    </row>
    <row r="5" spans="2:17" ht="15.75" customHeight="1" thickBot="1" x14ac:dyDescent="0.3">
      <c r="B5" s="731"/>
      <c r="C5" s="732"/>
      <c r="D5" s="732"/>
      <c r="E5" s="732"/>
      <c r="F5" s="732"/>
      <c r="G5" s="942" t="str">
        <f>Overview!D6</f>
        <v>3Key Company</v>
      </c>
      <c r="H5" s="942"/>
      <c r="I5" s="942"/>
      <c r="J5" s="942"/>
      <c r="K5" s="943" t="str">
        <f>_xlfn.CONCAT("Name of responsible assessor: ",Overview!L7,"     ")</f>
        <v xml:space="preserve">Name of responsible assessor: Franta Hrábě     </v>
      </c>
      <c r="L5" s="943"/>
      <c r="M5" s="943"/>
      <c r="N5" s="944"/>
    </row>
    <row r="8" spans="2:17" ht="18.75" x14ac:dyDescent="0.3">
      <c r="B8" s="1053" t="s">
        <v>416</v>
      </c>
      <c r="C8" s="1053"/>
      <c r="D8" s="1053"/>
      <c r="E8" s="1053"/>
      <c r="F8" s="1053"/>
      <c r="G8" s="1053"/>
      <c r="H8" s="1053"/>
      <c r="I8" s="1053"/>
      <c r="J8" s="1053"/>
      <c r="K8" s="1053"/>
      <c r="L8" s="1053"/>
      <c r="M8" s="1053"/>
      <c r="N8" s="1053"/>
    </row>
    <row r="9" spans="2:17" ht="15.75" thickBot="1" x14ac:dyDescent="0.3"/>
    <row r="10" spans="2:17" x14ac:dyDescent="0.25">
      <c r="B10" s="472"/>
      <c r="C10" s="473"/>
      <c r="D10" s="473"/>
      <c r="E10" s="474"/>
      <c r="F10" s="1056" t="s">
        <v>412</v>
      </c>
      <c r="G10" s="1054"/>
      <c r="H10" s="1054" t="s">
        <v>413</v>
      </c>
      <c r="I10" s="1055"/>
      <c r="J10" s="347" t="s">
        <v>47</v>
      </c>
      <c r="K10" s="268" t="s">
        <v>48</v>
      </c>
      <c r="L10" s="268" t="s">
        <v>49</v>
      </c>
      <c r="M10" s="268" t="s">
        <v>50</v>
      </c>
      <c r="N10" s="269" t="s">
        <v>51</v>
      </c>
    </row>
    <row r="11" spans="2:17" ht="15.75" thickBot="1" x14ac:dyDescent="0.3">
      <c r="B11" s="475"/>
      <c r="C11" s="476"/>
      <c r="D11" s="476"/>
      <c r="E11" s="477"/>
      <c r="F11" s="1057">
        <v>2</v>
      </c>
      <c r="G11" s="1058"/>
      <c r="H11" s="1058">
        <v>0</v>
      </c>
      <c r="I11" s="1059"/>
      <c r="J11" s="348">
        <v>1</v>
      </c>
      <c r="K11" s="349">
        <v>2</v>
      </c>
      <c r="L11" s="349">
        <v>3</v>
      </c>
      <c r="M11" s="349">
        <v>4</v>
      </c>
      <c r="N11" s="350">
        <v>5</v>
      </c>
    </row>
    <row r="12" spans="2:17" ht="7.5" customHeight="1" x14ac:dyDescent="0.25">
      <c r="B12" s="394"/>
      <c r="E12" s="395"/>
      <c r="F12" s="479"/>
      <c r="G12" s="480"/>
      <c r="H12" s="481"/>
      <c r="I12" s="482"/>
      <c r="J12" s="483"/>
      <c r="K12" s="484"/>
      <c r="L12" s="484"/>
      <c r="M12" s="484"/>
      <c r="N12" s="485"/>
    </row>
    <row r="13" spans="2:17" x14ac:dyDescent="0.25">
      <c r="B13" s="443" t="str">
        <f>Evaluation!C19</f>
        <v>1. Governance</v>
      </c>
      <c r="C13" s="451"/>
      <c r="D13" s="451"/>
      <c r="E13" s="389"/>
      <c r="F13" s="394"/>
      <c r="G13" s="486"/>
      <c r="H13" s="487"/>
      <c r="I13" s="395"/>
      <c r="J13" s="488"/>
      <c r="K13" s="489"/>
      <c r="L13" s="489"/>
      <c r="M13" s="489"/>
      <c r="N13" s="490"/>
    </row>
    <row r="14" spans="2:17" x14ac:dyDescent="0.25">
      <c r="B14" s="390" t="str">
        <f>Evaluation!C30</f>
        <v>1.1. Strategy and vision</v>
      </c>
      <c r="C14" s="223"/>
      <c r="D14" s="223"/>
      <c r="E14" s="391"/>
      <c r="F14" s="351" t="str">
        <f>Evaluation!F30</f>
        <v>Initial</v>
      </c>
      <c r="G14" s="371">
        <f>VLOOKUP(F14,tech!$A$13:$B$18,2,0)</f>
        <v>1</v>
      </c>
      <c r="H14" s="372"/>
      <c r="I14" s="352" t="str">
        <f>IF(H14="","",VLOOKUP(H14,tech!$A$13:$B$18,2,0))</f>
        <v/>
      </c>
      <c r="J14" s="459">
        <f>IF(G14=$J$11,tech!$D$23,"")</f>
        <v>2</v>
      </c>
      <c r="K14" s="329" t="str">
        <f>IF(G14=$K$11,tech!$D$23,IF(I14=$K$11,tech!D21,""))</f>
        <v/>
      </c>
      <c r="L14" s="329" t="str">
        <f>IF(G14=$L$11,tech!$D$23,IF(I14=$L$11,tech!$D$21,""))</f>
        <v/>
      </c>
      <c r="M14" s="329" t="str">
        <f>IF(G14=$M$11,tech!$D$23,IF(I14=$M$11,tech!$D$21,""))</f>
        <v/>
      </c>
      <c r="N14" s="330" t="str">
        <f>IF(G14=$N$11,tech!$D$23,IF(I14=$N$11,tech!$D$21,""))</f>
        <v/>
      </c>
      <c r="O14">
        <v>1</v>
      </c>
      <c r="P14" t="str">
        <f>B14</f>
        <v>1.1. Strategy and vision</v>
      </c>
      <c r="Q14" s="257">
        <f>IF(AND(G14&gt;0,I14&lt;&gt;""),1,0)</f>
        <v>0</v>
      </c>
    </row>
    <row r="15" spans="2:17" x14ac:dyDescent="0.25">
      <c r="B15" s="392" t="str">
        <f>Evaluation!C32</f>
        <v>1.2. Policies and documentation</v>
      </c>
      <c r="C15" s="452"/>
      <c r="D15" s="452"/>
      <c r="E15" s="393"/>
      <c r="F15" s="353" t="str">
        <f>Evaluation!F32</f>
        <v>Basic</v>
      </c>
      <c r="G15" s="369">
        <f>VLOOKUP(F15,tech!$A$13:$B$18,2,0)</f>
        <v>2</v>
      </c>
      <c r="H15" s="370"/>
      <c r="I15" s="354" t="str">
        <f>IF(H15="","",VLOOKUP(H15,tech!$A$13:$B$18,2,0))</f>
        <v/>
      </c>
      <c r="J15" s="460" t="str">
        <f>IF(G15=$J$11,tech!$D$23,"")</f>
        <v/>
      </c>
      <c r="K15" s="331">
        <f>IF(G15=$K$11,tech!$D$23,IF(I15=$K$11,tech!D22,""))</f>
        <v>2</v>
      </c>
      <c r="L15" s="331" t="str">
        <f>IF(G15=$L$11,tech!$D$23,IF(I15=$L$11,tech!$D$21,""))</f>
        <v/>
      </c>
      <c r="M15" s="331" t="str">
        <f>IF(G15=$M$11,tech!$D$23,IF(I15=$M$11,tech!$D$21,""))</f>
        <v/>
      </c>
      <c r="N15" s="332" t="str">
        <f>IF(G15=$N$11,tech!$D$23,IF(I15=$N$11,tech!$D$21,""))</f>
        <v/>
      </c>
      <c r="O15">
        <v>2</v>
      </c>
      <c r="P15" t="str">
        <f>B15</f>
        <v>1.2. Policies and documentation</v>
      </c>
      <c r="Q15" s="257">
        <f t="shared" ref="Q15:Q17" si="0">IF(AND(G15&gt;0,I15&lt;&gt;""),1,0)</f>
        <v>0</v>
      </c>
    </row>
    <row r="16" spans="2:17" x14ac:dyDescent="0.25">
      <c r="B16" s="390" t="str">
        <f>Evaluation!C34</f>
        <v>1.3. Compliance</v>
      </c>
      <c r="C16" s="223"/>
      <c r="D16" s="223"/>
      <c r="E16" s="391"/>
      <c r="F16" s="351" t="str">
        <f>Evaluation!F34</f>
        <v>Basic</v>
      </c>
      <c r="G16" s="371">
        <f>VLOOKUP(F16,tech!$A$13:$B$18,2,0)</f>
        <v>2</v>
      </c>
      <c r="H16" s="372"/>
      <c r="I16" s="352" t="str">
        <f>IF(H16="","",VLOOKUP(H16,tech!$A$13:$B$18,2,0))</f>
        <v/>
      </c>
      <c r="J16" s="459" t="str">
        <f>IF(G16=$J$11,tech!$D$23,"")</f>
        <v/>
      </c>
      <c r="K16" s="329">
        <f>IF(G16=$K$11,tech!$D$23,IF(I16=$K$11,tech!D23,""))</f>
        <v>2</v>
      </c>
      <c r="L16" s="329" t="str">
        <f>IF(G16=$L$11,tech!$D$23,IF(I16=$L$11,tech!$D$21,""))</f>
        <v/>
      </c>
      <c r="M16" s="329" t="str">
        <f>IF(G16=$M$11,tech!$D$23,IF(I16=$M$11,tech!$D$21,""))</f>
        <v/>
      </c>
      <c r="N16" s="330" t="str">
        <f>IF(G16=$N$11,tech!$D$23,IF(I16=$N$11,tech!$D$21,""))</f>
        <v/>
      </c>
      <c r="O16">
        <v>3</v>
      </c>
      <c r="P16" t="str">
        <f>B16</f>
        <v>1.3. Compliance</v>
      </c>
      <c r="Q16" s="257">
        <f t="shared" si="0"/>
        <v>0</v>
      </c>
    </row>
    <row r="17" spans="2:17" x14ac:dyDescent="0.25">
      <c r="B17" s="414" t="str">
        <f>Evaluation!C36</f>
        <v>1.4. Processes and procedures</v>
      </c>
      <c r="C17" s="415"/>
      <c r="D17" s="415"/>
      <c r="E17" s="416"/>
      <c r="F17" s="417" t="str">
        <f>Evaluation!F36</f>
        <v>Advanced</v>
      </c>
      <c r="G17" s="418">
        <f>VLOOKUP(F17,tech!$A$13:$B$18,2,0)</f>
        <v>3</v>
      </c>
      <c r="H17" s="419"/>
      <c r="I17" s="420" t="str">
        <f>IF(H17="","",VLOOKUP(H17,tech!$A$13:$B$18,2,0))</f>
        <v/>
      </c>
      <c r="J17" s="461" t="str">
        <f>IF(G17=$J$11,tech!$D$23,"")</f>
        <v/>
      </c>
      <c r="K17" s="421" t="str">
        <f>IF(G17=$K$11,tech!$D$23,IF(I17=$K$11,tech!D24,""))</f>
        <v/>
      </c>
      <c r="L17" s="421">
        <f>IF(G17=$L$11,tech!$D$23,IF(I17=$L$11,tech!$D$21,""))</f>
        <v>2</v>
      </c>
      <c r="M17" s="421" t="str">
        <f>IF(G17=$M$11,tech!$D$23,IF(I17=$M$11,tech!$D$21,""))</f>
        <v/>
      </c>
      <c r="N17" s="422" t="str">
        <f>IF(G17=$N$11,tech!$D$23,IF(I17=$N$11,tech!$D$21,""))</f>
        <v/>
      </c>
      <c r="O17">
        <v>4</v>
      </c>
      <c r="P17" t="str">
        <f>B17</f>
        <v>1.4. Processes and procedures</v>
      </c>
      <c r="Q17" s="257">
        <f t="shared" si="0"/>
        <v>0</v>
      </c>
    </row>
    <row r="18" spans="2:17" ht="7.5" customHeight="1" x14ac:dyDescent="0.25">
      <c r="B18" s="394"/>
      <c r="E18" s="395"/>
      <c r="F18" s="93"/>
      <c r="G18" s="373"/>
      <c r="H18" s="374"/>
      <c r="I18" s="326"/>
      <c r="J18" s="462" t="str">
        <f>IF(G18=$J$11,tech!$D$23,"")</f>
        <v/>
      </c>
      <c r="K18" s="327" t="str">
        <f>IF(G18=$K$11,tech!$D$23,IF(I18=$K$11,tech!D25,""))</f>
        <v/>
      </c>
      <c r="L18" s="327" t="str">
        <f>IF(G18=$L$11,tech!$D$23,IF(I18=$L$11,tech!$D$21,""))</f>
        <v/>
      </c>
      <c r="M18" s="327" t="str">
        <f>IF(G18=$M$11,tech!$D$23,IF(I18=$M$11,tech!$D$21,""))</f>
        <v/>
      </c>
      <c r="N18" s="328" t="str">
        <f>IF(G18=$N$11,tech!$D$23,IF(I18=$N$11,tech!$D$21,""))</f>
        <v/>
      </c>
      <c r="O18">
        <v>5</v>
      </c>
      <c r="P18" t="str">
        <f>B20</f>
        <v>2.1. Key Management</v>
      </c>
      <c r="Q18" s="257">
        <f>IF(AND(G20&gt;0,I20&lt;&gt;""),1,0)</f>
        <v>0</v>
      </c>
    </row>
    <row r="19" spans="2:17" x14ac:dyDescent="0.25">
      <c r="B19" s="444" t="str">
        <f>Evaluation!C21</f>
        <v>2. Management</v>
      </c>
      <c r="C19" s="453"/>
      <c r="D19" s="453"/>
      <c r="E19" s="396"/>
      <c r="F19" s="93"/>
      <c r="G19" s="373"/>
      <c r="H19" s="374"/>
      <c r="I19" s="326"/>
      <c r="J19" s="462" t="str">
        <f>IF(G19=$J$11,tech!$D$23,"")</f>
        <v/>
      </c>
      <c r="K19" s="327" t="str">
        <f>IF(G19=$K$11,tech!$D$23,IF(I19=$K$11,tech!D26,""))</f>
        <v/>
      </c>
      <c r="L19" s="327" t="str">
        <f>IF(G19=$L$11,tech!$D$23,IF(I19=$L$11,tech!$D$21,""))</f>
        <v/>
      </c>
      <c r="M19" s="327" t="str">
        <f>IF(G19=$M$11,tech!$D$23,IF(I19=$M$11,tech!$D$21,""))</f>
        <v/>
      </c>
      <c r="N19" s="328" t="str">
        <f>IF(G19=$N$11,tech!$D$23,IF(I19=$N$11,tech!$D$21,""))</f>
        <v/>
      </c>
      <c r="O19">
        <v>6</v>
      </c>
      <c r="P19" t="str">
        <f>B21</f>
        <v>2.2. Certificate Management</v>
      </c>
      <c r="Q19" s="257">
        <f t="shared" ref="Q19:Q21" si="1">IF(AND(G21&gt;0,I21&lt;&gt;""),1,0)</f>
        <v>0</v>
      </c>
    </row>
    <row r="20" spans="2:17" x14ac:dyDescent="0.25">
      <c r="B20" s="397" t="str">
        <f>Evaluation!C38</f>
        <v>2.1. Key Management</v>
      </c>
      <c r="C20" s="225"/>
      <c r="D20" s="225"/>
      <c r="E20" s="398"/>
      <c r="F20" s="355" t="str">
        <f>Evaluation!F38</f>
        <v>Advanced</v>
      </c>
      <c r="G20" s="375">
        <f>VLOOKUP(F20,tech!$A$13:$B$18,2,0)</f>
        <v>3</v>
      </c>
      <c r="H20" s="376"/>
      <c r="I20" s="356" t="str">
        <f>IF(H20="","",VLOOKUP(H20,tech!$A$13:$B$18,2,0))</f>
        <v/>
      </c>
      <c r="J20" s="463" t="str">
        <f>IF(G20=$J$11,tech!$D$23,"")</f>
        <v/>
      </c>
      <c r="K20" s="333" t="str">
        <f>IF(G20=$K$11,tech!$D$23,IF(I20=$K$11,tech!D27,""))</f>
        <v/>
      </c>
      <c r="L20" s="333">
        <f>IF(G20=$L$11,tech!$D$23,IF(I20=$L$11,tech!$D$21,""))</f>
        <v>2</v>
      </c>
      <c r="M20" s="333" t="str">
        <f>IF(G20=$M$11,tech!$D$23,IF(I20=$M$11,tech!$D$21,""))</f>
        <v/>
      </c>
      <c r="N20" s="334" t="str">
        <f>IF(G20=$N$11,tech!$D$23,IF(I20=$N$11,tech!$D$21,""))</f>
        <v/>
      </c>
      <c r="O20">
        <v>7</v>
      </c>
      <c r="P20" t="str">
        <f>B22</f>
        <v>2.3. Infrastructure Management</v>
      </c>
      <c r="Q20" s="257">
        <f t="shared" si="1"/>
        <v>0</v>
      </c>
    </row>
    <row r="21" spans="2:17" x14ac:dyDescent="0.25">
      <c r="B21" s="399" t="str">
        <f>Evaluation!C40</f>
        <v>2.2. Certificate Management</v>
      </c>
      <c r="C21" s="454"/>
      <c r="D21" s="454"/>
      <c r="E21" s="400"/>
      <c r="F21" s="357" t="str">
        <f>Evaluation!F40</f>
        <v>Basic</v>
      </c>
      <c r="G21" s="377">
        <f>VLOOKUP(F21,tech!$A$13:$B$18,2,0)</f>
        <v>2</v>
      </c>
      <c r="H21" s="378"/>
      <c r="I21" s="358" t="str">
        <f>IF(H21="","",VLOOKUP(H21,tech!$A$13:$B$18,2,0))</f>
        <v/>
      </c>
      <c r="J21" s="464" t="str">
        <f>IF(G21=$J$11,tech!$D$23,"")</f>
        <v/>
      </c>
      <c r="K21" s="335">
        <f>IF(G21=$K$11,tech!$D$23,IF(I21=$K$11,tech!D28,""))</f>
        <v>2</v>
      </c>
      <c r="L21" s="335" t="str">
        <f>IF(G21=$L$11,tech!$D$23,IF(I21=$L$11,tech!$D$21,""))</f>
        <v/>
      </c>
      <c r="M21" s="335" t="str">
        <f>IF(G21=$M$11,tech!$D$23,IF(I21=$M$11,tech!$D$21,""))</f>
        <v/>
      </c>
      <c r="N21" s="336" t="str">
        <f>IF(G21=$N$11,tech!$D$23,IF(I21=$N$11,tech!$D$21,""))</f>
        <v/>
      </c>
      <c r="O21">
        <v>8</v>
      </c>
      <c r="P21" t="str">
        <f>B23</f>
        <v>2.4. Change Management and Agility</v>
      </c>
      <c r="Q21" s="257">
        <f t="shared" si="1"/>
        <v>0</v>
      </c>
    </row>
    <row r="22" spans="2:17" x14ac:dyDescent="0.25">
      <c r="B22" s="397" t="str">
        <f>Evaluation!C42</f>
        <v>2.3. Infrastructure Management</v>
      </c>
      <c r="C22" s="225"/>
      <c r="D22" s="225"/>
      <c r="E22" s="398"/>
      <c r="F22" s="355" t="str">
        <f>Evaluation!F42</f>
        <v>Advanced</v>
      </c>
      <c r="G22" s="375">
        <f>VLOOKUP(F22,tech!$A$13:$B$18,2,0)</f>
        <v>3</v>
      </c>
      <c r="H22" s="376"/>
      <c r="I22" s="356" t="str">
        <f>IF(H22="","",VLOOKUP(H22,tech!$A$13:$B$18,2,0))</f>
        <v/>
      </c>
      <c r="J22" s="463" t="str">
        <f>IF(G22=$J$11,tech!$D$23,"")</f>
        <v/>
      </c>
      <c r="K22" s="333" t="str">
        <f>IF(G22=$K$11,tech!$D$23,IF(I22=$K$11,tech!D29,""))</f>
        <v/>
      </c>
      <c r="L22" s="333">
        <f>IF(G22=$L$11,tech!$D$23,IF(I22=$L$11,tech!$D$21,""))</f>
        <v>2</v>
      </c>
      <c r="M22" s="333" t="str">
        <f>IF(G22=$M$11,tech!$D$23,IF(I22=$M$11,tech!$D$21,""))</f>
        <v/>
      </c>
      <c r="N22" s="334" t="str">
        <f>IF(G22=$N$11,tech!$D$23,IF(I22=$N$11,tech!$D$21,""))</f>
        <v/>
      </c>
      <c r="O22">
        <v>9</v>
      </c>
      <c r="P22" t="str">
        <f>B26</f>
        <v>3.1. Resilience</v>
      </c>
      <c r="Q22" s="257">
        <f>IF(AND(G26&gt;0,I26&lt;&gt;""),1,0)</f>
        <v>0</v>
      </c>
    </row>
    <row r="23" spans="2:17" x14ac:dyDescent="0.25">
      <c r="B23" s="423" t="str">
        <f>Evaluation!C44</f>
        <v>2.4. Change Management and Agility</v>
      </c>
      <c r="C23" s="424"/>
      <c r="D23" s="424"/>
      <c r="E23" s="425"/>
      <c r="F23" s="426" t="str">
        <f>Evaluation!F44</f>
        <v>Basic</v>
      </c>
      <c r="G23" s="427">
        <f>VLOOKUP(F23,tech!$A$13:$B$18,2,0)</f>
        <v>2</v>
      </c>
      <c r="H23" s="428"/>
      <c r="I23" s="429" t="str">
        <f>IF(H23="","",VLOOKUP(H23,tech!$A$13:$B$18,2,0))</f>
        <v/>
      </c>
      <c r="J23" s="465" t="str">
        <f>IF(G23=$J$11,tech!$D$23,"")</f>
        <v/>
      </c>
      <c r="K23" s="430">
        <f>IF(G23=$K$11,tech!$D$23,IF(I23=$K$11,tech!D30,""))</f>
        <v>2</v>
      </c>
      <c r="L23" s="430" t="str">
        <f>IF(G23=$L$11,tech!$D$23,IF(I23=$L$11,tech!$D$21,""))</f>
        <v/>
      </c>
      <c r="M23" s="430" t="str">
        <f>IF(G23=$M$11,tech!$D$23,IF(I23=$M$11,tech!$D$21,""))</f>
        <v/>
      </c>
      <c r="N23" s="431" t="str">
        <f>IF(G23=$N$11,tech!$D$23,IF(I23=$N$11,tech!$D$21,""))</f>
        <v/>
      </c>
      <c r="O23">
        <v>10</v>
      </c>
      <c r="P23" t="str">
        <f>B27</f>
        <v>3.2. Interoperability</v>
      </c>
      <c r="Q23" s="257">
        <f t="shared" ref="Q23:Q25" si="2">IF(AND(G27&gt;0,I27&lt;&gt;""),1,0)</f>
        <v>0</v>
      </c>
    </row>
    <row r="24" spans="2:17" ht="7.5" customHeight="1" x14ac:dyDescent="0.25">
      <c r="B24" s="394"/>
      <c r="E24" s="395"/>
      <c r="F24" s="93"/>
      <c r="G24" s="373"/>
      <c r="H24" s="374"/>
      <c r="I24" s="326"/>
      <c r="J24" s="462" t="str">
        <f>IF(G24=$J$11,tech!$D$23,"")</f>
        <v/>
      </c>
      <c r="K24" s="327" t="str">
        <f>IF(G24=$K$11,tech!$D$23,IF(I24=$K$11,tech!D31,""))</f>
        <v/>
      </c>
      <c r="L24" s="327" t="str">
        <f>IF(G24=$L$11,tech!$D$23,IF(I24=$L$11,tech!$D$21,""))</f>
        <v/>
      </c>
      <c r="M24" s="327" t="str">
        <f>IF(G24=$M$11,tech!$D$23,IF(I24=$M$11,tech!$D$21,""))</f>
        <v/>
      </c>
      <c r="N24" s="328" t="str">
        <f>IF(G24=$N$11,tech!$D$23,IF(I24=$N$11,tech!$D$21,""))</f>
        <v/>
      </c>
      <c r="O24">
        <v>11</v>
      </c>
      <c r="P24" t="str">
        <f>B28</f>
        <v>3.3. Monitoring and Auditing</v>
      </c>
      <c r="Q24" s="257">
        <f t="shared" si="2"/>
        <v>0</v>
      </c>
    </row>
    <row r="25" spans="2:17" x14ac:dyDescent="0.25">
      <c r="B25" s="445" t="str">
        <f>Evaluation!C23</f>
        <v>3. Operations</v>
      </c>
      <c r="C25" s="455"/>
      <c r="D25" s="455"/>
      <c r="E25" s="401"/>
      <c r="F25" s="93"/>
      <c r="G25" s="373"/>
      <c r="H25" s="374"/>
      <c r="I25" s="326"/>
      <c r="J25" s="462" t="str">
        <f>IF(G25=$J$11,tech!$D$23,"")</f>
        <v/>
      </c>
      <c r="K25" s="327" t="str">
        <f>IF(G25=$K$11,tech!$D$23,IF(I25=$K$11,tech!D32,""))</f>
        <v/>
      </c>
      <c r="L25" s="327" t="str">
        <f>IF(G25=$L$11,tech!$D$23,IF(I25=$L$11,tech!$D$21,""))</f>
        <v/>
      </c>
      <c r="M25" s="327" t="str">
        <f>IF(G25=$M$11,tech!$D$23,IF(I25=$M$11,tech!$D$21,""))</f>
        <v/>
      </c>
      <c r="N25" s="328" t="str">
        <f>IF(G25=$N$11,tech!$D$23,IF(I25=$N$11,tech!$D$21,""))</f>
        <v/>
      </c>
      <c r="O25">
        <v>12</v>
      </c>
      <c r="P25" t="str">
        <f>B29</f>
        <v>3.4. Automation</v>
      </c>
      <c r="Q25" s="257">
        <f t="shared" si="2"/>
        <v>0</v>
      </c>
    </row>
    <row r="26" spans="2:17" x14ac:dyDescent="0.25">
      <c r="B26" s="402" t="str">
        <f>Evaluation!C46</f>
        <v>3.1. Resilience</v>
      </c>
      <c r="C26" s="226"/>
      <c r="D26" s="226"/>
      <c r="E26" s="403"/>
      <c r="F26" s="359" t="str">
        <f>Evaluation!F46</f>
        <v>Advanced</v>
      </c>
      <c r="G26" s="379">
        <f>VLOOKUP(F26,tech!$A$13:$B$18,2,0)</f>
        <v>3</v>
      </c>
      <c r="H26" s="380"/>
      <c r="I26" s="360" t="str">
        <f>IF(H26="","",VLOOKUP(H26,tech!$A$13:$B$18,2,0))</f>
        <v/>
      </c>
      <c r="J26" s="466" t="str">
        <f>IF(G26=$J$11,tech!$D$23,"")</f>
        <v/>
      </c>
      <c r="K26" s="337" t="str">
        <f>IF(G26=$K$11,tech!$D$23,IF(I26=$K$11,tech!D33,""))</f>
        <v/>
      </c>
      <c r="L26" s="337">
        <f>IF(G26=$L$11,tech!$D$23,IF(I26=$L$11,tech!$D$21,""))</f>
        <v>2</v>
      </c>
      <c r="M26" s="337" t="str">
        <f>IF(G26=$M$11,tech!$D$23,IF(I26=$M$11,tech!$D$21,""))</f>
        <v/>
      </c>
      <c r="N26" s="338" t="str">
        <f>IF(G26=$N$11,tech!$D$23,IF(I26=$N$11,tech!$D$21,""))</f>
        <v/>
      </c>
      <c r="O26">
        <v>13</v>
      </c>
      <c r="P26" t="str">
        <f>B32</f>
        <v>4.1. Sourcing</v>
      </c>
      <c r="Q26" s="257">
        <f>IF(AND(G32&gt;0,I32&lt;&gt;""),1,0)</f>
        <v>0</v>
      </c>
    </row>
    <row r="27" spans="2:17" x14ac:dyDescent="0.25">
      <c r="B27" s="404" t="str">
        <f>Evaluation!C48</f>
        <v>3.2. Interoperability</v>
      </c>
      <c r="C27" s="456"/>
      <c r="D27" s="456"/>
      <c r="E27" s="405"/>
      <c r="F27" s="361" t="str">
        <f>Evaluation!F48</f>
        <v>Advanced</v>
      </c>
      <c r="G27" s="381">
        <f>VLOOKUP(F27,tech!$A$13:$B$18,2,0)</f>
        <v>3</v>
      </c>
      <c r="H27" s="382"/>
      <c r="I27" s="362" t="str">
        <f>IF(H27="","",VLOOKUP(H27,tech!$A$13:$B$18,2,0))</f>
        <v/>
      </c>
      <c r="J27" s="467" t="str">
        <f>IF(G27=$J$11,tech!$D$23,"")</f>
        <v/>
      </c>
      <c r="K27" s="339" t="str">
        <f>IF(G27=$K$11,tech!$D$23,IF(I27=$K$11,tech!D34,""))</f>
        <v/>
      </c>
      <c r="L27" s="339">
        <f>IF(G27=$L$11,tech!$D$23,IF(I27=$L$11,tech!$D$21,""))</f>
        <v>2</v>
      </c>
      <c r="M27" s="339" t="str">
        <f>IF(G27=$M$11,tech!$D$23,IF(I27=$M$11,tech!$D$21,""))</f>
        <v/>
      </c>
      <c r="N27" s="340" t="str">
        <f>IF(G27=$N$11,tech!$D$23,IF(I27=$N$11,tech!$D$21,""))</f>
        <v/>
      </c>
      <c r="O27">
        <v>14</v>
      </c>
      <c r="P27" t="str">
        <f>B33</f>
        <v>4.2. Knowledge and Training</v>
      </c>
      <c r="Q27" s="257">
        <f t="shared" ref="Q27:Q28" si="3">IF(AND(G33&gt;0,I33&lt;&gt;""),1,0)</f>
        <v>0</v>
      </c>
    </row>
    <row r="28" spans="2:17" x14ac:dyDescent="0.25">
      <c r="B28" s="402" t="str">
        <f>Evaluation!C50</f>
        <v>3.3. Monitoring and Auditing</v>
      </c>
      <c r="C28" s="226"/>
      <c r="D28" s="226"/>
      <c r="E28" s="403"/>
      <c r="F28" s="359" t="str">
        <f>Evaluation!F50</f>
        <v>Advanced</v>
      </c>
      <c r="G28" s="379">
        <f>VLOOKUP(F28,tech!$A$13:$B$18,2,0)</f>
        <v>3</v>
      </c>
      <c r="H28" s="380"/>
      <c r="I28" s="360" t="str">
        <f>IF(H28="","",VLOOKUP(H28,tech!$A$13:$B$18,2,0))</f>
        <v/>
      </c>
      <c r="J28" s="466" t="str">
        <f>IF(G28=$J$11,tech!$D$23,"")</f>
        <v/>
      </c>
      <c r="K28" s="337" t="str">
        <f>IF(G28=$K$11,tech!$D$23,IF(I28=$K$11,tech!D35,""))</f>
        <v/>
      </c>
      <c r="L28" s="337">
        <f>IF(G28=$L$11,tech!$D$23,IF(I28=$L$11,tech!$D$21,""))</f>
        <v>2</v>
      </c>
      <c r="M28" s="337" t="str">
        <f>IF(G28=$M$11,tech!$D$23,IF(I28=$M$11,tech!$D$21,""))</f>
        <v/>
      </c>
      <c r="N28" s="338" t="str">
        <f>IF(G28=$N$11,tech!$D$23,IF(I28=$N$11,tech!$D$21,""))</f>
        <v/>
      </c>
      <c r="O28">
        <v>15</v>
      </c>
      <c r="P28" t="str">
        <f>B34</f>
        <v>4.3. Awareness</v>
      </c>
      <c r="Q28" s="257">
        <f t="shared" si="3"/>
        <v>0</v>
      </c>
    </row>
    <row r="29" spans="2:17" x14ac:dyDescent="0.25">
      <c r="B29" s="432" t="str">
        <f>Evaluation!C52</f>
        <v>3.4. Automation</v>
      </c>
      <c r="C29" s="433"/>
      <c r="D29" s="433"/>
      <c r="E29" s="434"/>
      <c r="F29" s="435" t="str">
        <f>Evaluation!F52</f>
        <v>Basic</v>
      </c>
      <c r="G29" s="436">
        <f>VLOOKUP(F29,tech!$A$13:$B$18,2,0)</f>
        <v>2</v>
      </c>
      <c r="H29" s="437"/>
      <c r="I29" s="438" t="str">
        <f>IF(H29="","",VLOOKUP(H29,tech!$A$13:$B$18,2,0))</f>
        <v/>
      </c>
      <c r="J29" s="468" t="str">
        <f>IF(G29=$J$11,tech!$D$23,"")</f>
        <v/>
      </c>
      <c r="K29" s="439">
        <f>IF(G29=$K$11,tech!$D$23,IF(I29=$K$11,tech!D36,""))</f>
        <v>2</v>
      </c>
      <c r="L29" s="439" t="str">
        <f>IF(G29=$L$11,tech!$D$23,IF(I29=$L$11,tech!$D$21,""))</f>
        <v/>
      </c>
      <c r="M29" s="439" t="str">
        <f>IF(G29=$M$11,tech!$D$23,IF(I29=$M$11,tech!$D$21,""))</f>
        <v/>
      </c>
      <c r="N29" s="440" t="str">
        <f>IF(G29=$N$11,tech!$D$23,IF(I29=$N$11,tech!$D$21,""))</f>
        <v/>
      </c>
    </row>
    <row r="30" spans="2:17" ht="7.5" customHeight="1" x14ac:dyDescent="0.25">
      <c r="B30" s="394"/>
      <c r="E30" s="395"/>
      <c r="F30" s="93"/>
      <c r="G30" s="373"/>
      <c r="H30" s="374"/>
      <c r="I30" s="326"/>
      <c r="J30" s="462" t="str">
        <f>IF(G30=$J$11,tech!$D$23,"")</f>
        <v/>
      </c>
      <c r="K30" s="327" t="str">
        <f>IF(G30=$K$11,tech!$D$23,IF(I30=$K$11,tech!D37,""))</f>
        <v/>
      </c>
      <c r="L30" s="327" t="str">
        <f>IF(G30=$L$11,tech!$D$23,IF(I30=$L$11,tech!$D$21,""))</f>
        <v/>
      </c>
      <c r="M30" s="327" t="str">
        <f>IF(G30=$M$11,tech!$D$23,IF(I30=$M$11,tech!$D$21,""))</f>
        <v/>
      </c>
      <c r="N30" s="328" t="str">
        <f>IF(G30=$N$11,tech!$D$23,IF(I30=$N$11,tech!$D$21,""))</f>
        <v/>
      </c>
    </row>
    <row r="31" spans="2:17" x14ac:dyDescent="0.25">
      <c r="B31" s="446" t="str">
        <f>Evaluation!C25</f>
        <v>4. Resources</v>
      </c>
      <c r="C31" s="457"/>
      <c r="D31" s="457"/>
      <c r="E31" s="406"/>
      <c r="F31" s="93"/>
      <c r="G31" s="373"/>
      <c r="H31" s="374"/>
      <c r="I31" s="326"/>
      <c r="J31" s="462" t="str">
        <f>IF(G31=$J$11,tech!$D$23,"")</f>
        <v/>
      </c>
      <c r="K31" s="327" t="str">
        <f>IF(G31=$K$11,tech!$D$23,IF(I31=$K$11,tech!D38,""))</f>
        <v/>
      </c>
      <c r="L31" s="327" t="str">
        <f>IF(G31=$L$11,tech!$D$23,IF(I31=$L$11,tech!$D$21,""))</f>
        <v/>
      </c>
      <c r="M31" s="327" t="str">
        <f>IF(G31=$M$11,tech!$D$23,IF(I31=$M$11,tech!$D$21,""))</f>
        <v/>
      </c>
      <c r="N31" s="328" t="str">
        <f>IF(G31=$N$11,tech!$D$23,IF(I31=$N$11,tech!$D$21,""))</f>
        <v/>
      </c>
    </row>
    <row r="32" spans="2:17" x14ac:dyDescent="0.25">
      <c r="B32" s="407" t="str">
        <f>Evaluation!C54</f>
        <v>4.1. Sourcing</v>
      </c>
      <c r="C32" s="227"/>
      <c r="D32" s="227"/>
      <c r="E32" s="408"/>
      <c r="F32" s="363" t="str">
        <f>Evaluation!F54</f>
        <v>Advanced</v>
      </c>
      <c r="G32" s="383">
        <f>VLOOKUP(F32,tech!$A$13:$B$18,2,0)</f>
        <v>3</v>
      </c>
      <c r="H32" s="384"/>
      <c r="I32" s="364" t="str">
        <f>IF(H32="","",VLOOKUP(H32,tech!$A$13:$B$18,2,0))</f>
        <v/>
      </c>
      <c r="J32" s="469" t="str">
        <f>IF(G32=$J$11,tech!$D$23,"")</f>
        <v/>
      </c>
      <c r="K32" s="341" t="str">
        <f>IF(G32=$K$11,tech!$D$23,IF(I32=$K$11,tech!D39,""))</f>
        <v/>
      </c>
      <c r="L32" s="341">
        <f>IF(G32=$L$11,tech!$D$23,IF(I32=$L$11,tech!$D$21,""))</f>
        <v>2</v>
      </c>
      <c r="M32" s="341" t="str">
        <f>IF(G32=$M$11,tech!$D$23,IF(I32=$M$11,tech!$D$21,""))</f>
        <v/>
      </c>
      <c r="N32" s="342" t="str">
        <f>IF(G32=$N$11,tech!$D$23,IF(I32=$N$11,tech!$D$21,""))</f>
        <v/>
      </c>
    </row>
    <row r="33" spans="1:14" x14ac:dyDescent="0.25">
      <c r="B33" s="409" t="str">
        <f>Evaluation!C56</f>
        <v>4.2. Knowledge and Training</v>
      </c>
      <c r="C33" s="458"/>
      <c r="D33" s="458"/>
      <c r="E33" s="410"/>
      <c r="F33" s="365" t="str">
        <f>Evaluation!F56</f>
        <v>Managed</v>
      </c>
      <c r="G33" s="385">
        <f>VLOOKUP(F33,tech!$A$13:$B$18,2,0)</f>
        <v>4</v>
      </c>
      <c r="H33" s="386"/>
      <c r="I33" s="366" t="str">
        <f>IF(H33="","",VLOOKUP(H33,tech!$A$13:$B$18,2,0))</f>
        <v/>
      </c>
      <c r="J33" s="470" t="str">
        <f>IF(G33=$J$11,tech!$D$23,"")</f>
        <v/>
      </c>
      <c r="K33" s="345" t="str">
        <f>IF(G33=$K$11,tech!$D$23,IF(I33=$K$11,tech!D40,""))</f>
        <v/>
      </c>
      <c r="L33" s="345" t="str">
        <f>IF(G33=$L$11,tech!$D$23,IF(I33=$L$11,tech!$D$21,""))</f>
        <v/>
      </c>
      <c r="M33" s="345">
        <f>IF(G33=$M$11,tech!$D$23,IF(I33=$M$11,tech!$D$21,""))</f>
        <v>2</v>
      </c>
      <c r="N33" s="346" t="str">
        <f>IF(G33=$N$11,tech!$D$23,IF(I33=$N$11,tech!$D$21,""))</f>
        <v/>
      </c>
    </row>
    <row r="34" spans="1:14" ht="15.75" thickBot="1" x14ac:dyDescent="0.3">
      <c r="B34" s="411" t="str">
        <f>Evaluation!C58</f>
        <v>4.3. Awareness</v>
      </c>
      <c r="C34" s="412"/>
      <c r="D34" s="412"/>
      <c r="E34" s="413"/>
      <c r="F34" s="367" t="str">
        <f>Evaluation!F58</f>
        <v>Advanced</v>
      </c>
      <c r="G34" s="387">
        <f>VLOOKUP(F34,tech!$A$13:$B$18,2,0)</f>
        <v>3</v>
      </c>
      <c r="H34" s="388"/>
      <c r="I34" s="368" t="str">
        <f>IF(H34="","",VLOOKUP(H34,tech!$A$13:$B$18,2,0))</f>
        <v/>
      </c>
      <c r="J34" s="471" t="str">
        <f>IF(G34=$J$11,tech!$D$23,"")</f>
        <v/>
      </c>
      <c r="K34" s="343" t="str">
        <f>IF(G34=$K$11,tech!$D$23,IF(I34=$K$11,tech!D41,""))</f>
        <v/>
      </c>
      <c r="L34" s="343">
        <f>IF(G34=$L$11,tech!$D$23,IF(I34=$L$11,tech!$D$21,""))</f>
        <v>2</v>
      </c>
      <c r="M34" s="343" t="str">
        <f>IF(G34=$M$11,tech!$D$23,IF(I34=$M$11,tech!$D$21,""))</f>
        <v/>
      </c>
      <c r="N34" s="344" t="str">
        <f>IF(G34=$N$11,tech!$D$23,IF(I34=$N$11,tech!$D$21,""))</f>
        <v/>
      </c>
    </row>
    <row r="36" spans="1:14" ht="18.75" x14ac:dyDescent="0.3">
      <c r="B36" s="1053" t="s">
        <v>415</v>
      </c>
      <c r="C36" s="1053"/>
      <c r="D36" s="1053"/>
      <c r="E36" s="1053"/>
      <c r="F36" s="1053"/>
      <c r="G36" s="1053"/>
      <c r="H36" s="1053"/>
      <c r="I36" s="1053"/>
      <c r="J36" s="1053"/>
      <c r="K36" s="1053"/>
      <c r="L36" s="1053"/>
      <c r="M36" s="1053"/>
      <c r="N36" s="1053"/>
    </row>
    <row r="37" spans="1:14" ht="15.75" thickBot="1" x14ac:dyDescent="0.3"/>
    <row r="38" spans="1:14" x14ac:dyDescent="0.25">
      <c r="A38" s="478">
        <f>IF(OR($F$38=0,$F$38=""),0,1)</f>
        <v>0</v>
      </c>
      <c r="B38" s="1047" t="str" cm="1">
        <f t="array" ref="B38">IFERROR(INDEX(_xlfn._xlws.FILTER($P$14:$P$28,$Q$14:$Q$28=1,""),O14),0)</f>
        <v/>
      </c>
      <c r="C38" s="1048"/>
      <c r="D38" s="1048"/>
      <c r="E38" s="1048"/>
      <c r="F38" s="441" t="str">
        <f>LEFT(B38,1)</f>
        <v/>
      </c>
      <c r="G38" s="441"/>
      <c r="H38" s="441"/>
      <c r="I38" s="441"/>
      <c r="J38" s="441"/>
      <c r="K38" s="441"/>
      <c r="L38" s="441"/>
      <c r="M38" s="441"/>
      <c r="N38" s="442"/>
    </row>
    <row r="39" spans="1:14" ht="37.5" customHeight="1" x14ac:dyDescent="0.25">
      <c r="A39" s="478">
        <f t="shared" ref="A39:A45" si="4">IF(OR($F$38=0,$F$38=""),0,1)</f>
        <v>0</v>
      </c>
      <c r="B39" s="1060" t="s">
        <v>419</v>
      </c>
      <c r="C39" s="1061"/>
      <c r="D39" s="1039"/>
      <c r="E39" s="1039"/>
      <c r="F39" s="1039"/>
      <c r="G39" s="1039"/>
      <c r="H39" s="1039"/>
      <c r="I39" s="1039"/>
      <c r="J39" s="1039"/>
      <c r="K39" s="1039"/>
      <c r="L39" s="1039"/>
      <c r="M39" s="1039"/>
      <c r="N39" s="1040"/>
    </row>
    <row r="40" spans="1:14" ht="37.5" customHeight="1" x14ac:dyDescent="0.25">
      <c r="A40" s="478">
        <f t="shared" si="4"/>
        <v>0</v>
      </c>
      <c r="B40" s="1049" t="s">
        <v>420</v>
      </c>
      <c r="C40" s="1050"/>
      <c r="D40" s="1039"/>
      <c r="E40" s="1039"/>
      <c r="F40" s="1039"/>
      <c r="G40" s="1039"/>
      <c r="H40" s="1039"/>
      <c r="I40" s="1039"/>
      <c r="J40" s="1039"/>
      <c r="K40" s="1039"/>
      <c r="L40" s="1039"/>
      <c r="M40" s="1039"/>
      <c r="N40" s="1040"/>
    </row>
    <row r="41" spans="1:14" ht="37.5" customHeight="1" x14ac:dyDescent="0.25">
      <c r="A41" s="478">
        <f t="shared" si="4"/>
        <v>0</v>
      </c>
      <c r="B41" s="1049" t="s">
        <v>421</v>
      </c>
      <c r="C41" s="1050"/>
      <c r="D41" s="1039"/>
      <c r="E41" s="1039"/>
      <c r="F41" s="1039"/>
      <c r="G41" s="1039"/>
      <c r="H41" s="1039"/>
      <c r="I41" s="1039"/>
      <c r="J41" s="1039"/>
      <c r="K41" s="1039"/>
      <c r="L41" s="1039"/>
      <c r="M41" s="1039"/>
      <c r="N41" s="1040"/>
    </row>
    <row r="42" spans="1:14" ht="37.5" customHeight="1" x14ac:dyDescent="0.25">
      <c r="A42" s="478">
        <f t="shared" si="4"/>
        <v>0</v>
      </c>
      <c r="B42" s="1049" t="s">
        <v>233</v>
      </c>
      <c r="C42" s="1050"/>
      <c r="D42" s="1039"/>
      <c r="E42" s="1039"/>
      <c r="F42" s="1039"/>
      <c r="G42" s="1039"/>
      <c r="H42" s="1039"/>
      <c r="I42" s="1039"/>
      <c r="J42" s="1039"/>
      <c r="K42" s="1039"/>
      <c r="L42" s="1039"/>
      <c r="M42" s="1039"/>
      <c r="N42" s="1040"/>
    </row>
    <row r="43" spans="1:14" ht="37.5" customHeight="1" x14ac:dyDescent="0.25">
      <c r="A43" s="478">
        <f t="shared" si="4"/>
        <v>0</v>
      </c>
      <c r="B43" s="1049" t="s">
        <v>422</v>
      </c>
      <c r="C43" s="1050"/>
      <c r="D43" s="1039"/>
      <c r="E43" s="1039"/>
      <c r="F43" s="1039"/>
      <c r="G43" s="1039"/>
      <c r="H43" s="1039"/>
      <c r="I43" s="1039"/>
      <c r="J43" s="1039"/>
      <c r="K43" s="1039"/>
      <c r="L43" s="1039"/>
      <c r="M43" s="1039"/>
      <c r="N43" s="1040"/>
    </row>
    <row r="44" spans="1:14" ht="37.5" customHeight="1" x14ac:dyDescent="0.25">
      <c r="A44" s="478">
        <f t="shared" si="4"/>
        <v>0</v>
      </c>
      <c r="B44" s="1049" t="s">
        <v>423</v>
      </c>
      <c r="C44" s="1050"/>
      <c r="D44" s="1039"/>
      <c r="E44" s="1039"/>
      <c r="F44" s="1039"/>
      <c r="G44" s="1039"/>
      <c r="H44" s="1039"/>
      <c r="I44" s="1039"/>
      <c r="J44" s="1039"/>
      <c r="K44" s="1039"/>
      <c r="L44" s="1039"/>
      <c r="M44" s="1039"/>
      <c r="N44" s="1040"/>
    </row>
    <row r="45" spans="1:14" ht="37.5" customHeight="1" thickBot="1" x14ac:dyDescent="0.3">
      <c r="A45" s="478">
        <f t="shared" si="4"/>
        <v>0</v>
      </c>
      <c r="B45" s="1051" t="s">
        <v>424</v>
      </c>
      <c r="C45" s="1052"/>
      <c r="D45" s="1043"/>
      <c r="E45" s="1043"/>
      <c r="F45" s="1043"/>
      <c r="G45" s="1043"/>
      <c r="H45" s="1043"/>
      <c r="I45" s="1043"/>
      <c r="J45" s="1043"/>
      <c r="K45" s="1043"/>
      <c r="L45" s="1043"/>
      <c r="M45" s="1043"/>
      <c r="N45" s="1044"/>
    </row>
    <row r="46" spans="1:14" ht="15.75" thickBot="1" x14ac:dyDescent="0.3">
      <c r="A46" s="478"/>
    </row>
    <row r="47" spans="1:14" x14ac:dyDescent="0.25">
      <c r="A47" s="478">
        <f>IF(OR($F$47="0",$F$47=""),0,1)</f>
        <v>0</v>
      </c>
      <c r="B47" s="1047" cm="1">
        <f t="array" ref="B47">IFERROR(INDEX(_xlfn._xlws.FILTER($P$14:$P$28,$Q$14:$Q$28=1,""),O15),0)</f>
        <v>0</v>
      </c>
      <c r="C47" s="1048"/>
      <c r="D47" s="1048"/>
      <c r="E47" s="1048"/>
      <c r="F47" s="441" t="str">
        <f>LEFT(B47,1)</f>
        <v>0</v>
      </c>
      <c r="G47" s="441"/>
      <c r="H47" s="441"/>
      <c r="I47" s="441"/>
      <c r="J47" s="441"/>
      <c r="K47" s="441"/>
      <c r="L47" s="441"/>
      <c r="M47" s="441"/>
      <c r="N47" s="442"/>
    </row>
    <row r="48" spans="1:14" ht="37.5" customHeight="1" x14ac:dyDescent="0.25">
      <c r="A48" s="478">
        <f t="shared" ref="A48:A54" si="5">IF(OR($F$47="0",$F$47=""),0,1)</f>
        <v>0</v>
      </c>
      <c r="B48" s="1045" t="s">
        <v>419</v>
      </c>
      <c r="C48" s="1046"/>
      <c r="D48" s="1039"/>
      <c r="E48" s="1039"/>
      <c r="F48" s="1039"/>
      <c r="G48" s="1039"/>
      <c r="H48" s="1039"/>
      <c r="I48" s="1039"/>
      <c r="J48" s="1039"/>
      <c r="K48" s="1039"/>
      <c r="L48" s="1039"/>
      <c r="M48" s="1039"/>
      <c r="N48" s="1040"/>
    </row>
    <row r="49" spans="1:14" ht="37.5" customHeight="1" x14ac:dyDescent="0.25">
      <c r="A49" s="478">
        <f t="shared" si="5"/>
        <v>0</v>
      </c>
      <c r="B49" s="1037" t="s">
        <v>420</v>
      </c>
      <c r="C49" s="1038"/>
      <c r="D49" s="1039"/>
      <c r="E49" s="1039"/>
      <c r="F49" s="1039"/>
      <c r="G49" s="1039"/>
      <c r="H49" s="1039"/>
      <c r="I49" s="1039"/>
      <c r="J49" s="1039"/>
      <c r="K49" s="1039"/>
      <c r="L49" s="1039"/>
      <c r="M49" s="1039"/>
      <c r="N49" s="1040"/>
    </row>
    <row r="50" spans="1:14" ht="37.5" customHeight="1" x14ac:dyDescent="0.25">
      <c r="A50" s="478">
        <f t="shared" si="5"/>
        <v>0</v>
      </c>
      <c r="B50" s="1037" t="s">
        <v>421</v>
      </c>
      <c r="C50" s="1038"/>
      <c r="D50" s="1039"/>
      <c r="E50" s="1039"/>
      <c r="F50" s="1039"/>
      <c r="G50" s="1039"/>
      <c r="H50" s="1039"/>
      <c r="I50" s="1039"/>
      <c r="J50" s="1039"/>
      <c r="K50" s="1039"/>
      <c r="L50" s="1039"/>
      <c r="M50" s="1039"/>
      <c r="N50" s="1040"/>
    </row>
    <row r="51" spans="1:14" ht="37.5" customHeight="1" x14ac:dyDescent="0.25">
      <c r="A51" s="478">
        <f t="shared" si="5"/>
        <v>0</v>
      </c>
      <c r="B51" s="1037" t="s">
        <v>233</v>
      </c>
      <c r="C51" s="1038"/>
      <c r="D51" s="1039"/>
      <c r="E51" s="1039"/>
      <c r="F51" s="1039"/>
      <c r="G51" s="1039"/>
      <c r="H51" s="1039"/>
      <c r="I51" s="1039"/>
      <c r="J51" s="1039"/>
      <c r="K51" s="1039"/>
      <c r="L51" s="1039"/>
      <c r="M51" s="1039"/>
      <c r="N51" s="1040"/>
    </row>
    <row r="52" spans="1:14" ht="37.5" customHeight="1" x14ac:dyDescent="0.25">
      <c r="A52" s="478">
        <f t="shared" si="5"/>
        <v>0</v>
      </c>
      <c r="B52" s="1037" t="s">
        <v>422</v>
      </c>
      <c r="C52" s="1038"/>
      <c r="D52" s="1039"/>
      <c r="E52" s="1039"/>
      <c r="F52" s="1039"/>
      <c r="G52" s="1039"/>
      <c r="H52" s="1039"/>
      <c r="I52" s="1039"/>
      <c r="J52" s="1039"/>
      <c r="K52" s="1039"/>
      <c r="L52" s="1039"/>
      <c r="M52" s="1039"/>
      <c r="N52" s="1040"/>
    </row>
    <row r="53" spans="1:14" ht="37.5" customHeight="1" x14ac:dyDescent="0.25">
      <c r="A53" s="478">
        <f t="shared" si="5"/>
        <v>0</v>
      </c>
      <c r="B53" s="1037" t="s">
        <v>423</v>
      </c>
      <c r="C53" s="1038"/>
      <c r="D53" s="1039"/>
      <c r="E53" s="1039"/>
      <c r="F53" s="1039"/>
      <c r="G53" s="1039"/>
      <c r="H53" s="1039"/>
      <c r="I53" s="1039"/>
      <c r="J53" s="1039"/>
      <c r="K53" s="1039"/>
      <c r="L53" s="1039"/>
      <c r="M53" s="1039"/>
      <c r="N53" s="1040"/>
    </row>
    <row r="54" spans="1:14" ht="37.5" customHeight="1" thickBot="1" x14ac:dyDescent="0.3">
      <c r="A54" s="478">
        <f t="shared" si="5"/>
        <v>0</v>
      </c>
      <c r="B54" s="1041" t="s">
        <v>424</v>
      </c>
      <c r="C54" s="1042"/>
      <c r="D54" s="1043"/>
      <c r="E54" s="1043"/>
      <c r="F54" s="1043"/>
      <c r="G54" s="1043"/>
      <c r="H54" s="1043"/>
      <c r="I54" s="1043"/>
      <c r="J54" s="1043"/>
      <c r="K54" s="1043"/>
      <c r="L54" s="1043"/>
      <c r="M54" s="1043"/>
      <c r="N54" s="1044"/>
    </row>
    <row r="55" spans="1:14" ht="15.75" thickBot="1" x14ac:dyDescent="0.3">
      <c r="A55" s="478"/>
    </row>
    <row r="56" spans="1:14" x14ac:dyDescent="0.25">
      <c r="A56" s="478">
        <f>IF(OR($F$56="0",$F$56=""),0,1)</f>
        <v>0</v>
      </c>
      <c r="B56" s="1047" cm="1">
        <f t="array" ref="B56">IFERROR(INDEX(_xlfn._xlws.FILTER($P$14:$P$28,$Q$14:$Q$28=1,""),O16),0)</f>
        <v>0</v>
      </c>
      <c r="C56" s="1048"/>
      <c r="D56" s="1048"/>
      <c r="E56" s="1048"/>
      <c r="F56" s="441" t="str">
        <f>LEFT(B56,1)</f>
        <v>0</v>
      </c>
      <c r="G56" s="441"/>
      <c r="H56" s="441"/>
      <c r="I56" s="441"/>
      <c r="J56" s="441"/>
      <c r="K56" s="441"/>
      <c r="L56" s="441"/>
      <c r="M56" s="441"/>
      <c r="N56" s="442"/>
    </row>
    <row r="57" spans="1:14" ht="37.5" customHeight="1" x14ac:dyDescent="0.25">
      <c r="A57" s="478">
        <f t="shared" ref="A57:A63" si="6">IF(OR($F$56="0",$F$56=""),0,1)</f>
        <v>0</v>
      </c>
      <c r="B57" s="1045" t="s">
        <v>419</v>
      </c>
      <c r="C57" s="1046"/>
      <c r="D57" s="1039"/>
      <c r="E57" s="1039"/>
      <c r="F57" s="1039"/>
      <c r="G57" s="1039"/>
      <c r="H57" s="1039"/>
      <c r="I57" s="1039"/>
      <c r="J57" s="1039"/>
      <c r="K57" s="1039"/>
      <c r="L57" s="1039"/>
      <c r="M57" s="1039"/>
      <c r="N57" s="1040"/>
    </row>
    <row r="58" spans="1:14" ht="37.5" customHeight="1" x14ac:dyDescent="0.25">
      <c r="A58" s="478">
        <f t="shared" si="6"/>
        <v>0</v>
      </c>
      <c r="B58" s="1037" t="s">
        <v>420</v>
      </c>
      <c r="C58" s="1038"/>
      <c r="D58" s="1039"/>
      <c r="E58" s="1039"/>
      <c r="F58" s="1039"/>
      <c r="G58" s="1039"/>
      <c r="H58" s="1039"/>
      <c r="I58" s="1039"/>
      <c r="J58" s="1039"/>
      <c r="K58" s="1039"/>
      <c r="L58" s="1039"/>
      <c r="M58" s="1039"/>
      <c r="N58" s="1040"/>
    </row>
    <row r="59" spans="1:14" ht="37.5" customHeight="1" x14ac:dyDescent="0.25">
      <c r="A59" s="478">
        <f t="shared" si="6"/>
        <v>0</v>
      </c>
      <c r="B59" s="1037" t="s">
        <v>421</v>
      </c>
      <c r="C59" s="1038"/>
      <c r="D59" s="1039"/>
      <c r="E59" s="1039"/>
      <c r="F59" s="1039"/>
      <c r="G59" s="1039"/>
      <c r="H59" s="1039"/>
      <c r="I59" s="1039"/>
      <c r="J59" s="1039"/>
      <c r="K59" s="1039"/>
      <c r="L59" s="1039"/>
      <c r="M59" s="1039"/>
      <c r="N59" s="1040"/>
    </row>
    <row r="60" spans="1:14" ht="37.5" customHeight="1" x14ac:dyDescent="0.25">
      <c r="A60" s="478">
        <f t="shared" si="6"/>
        <v>0</v>
      </c>
      <c r="B60" s="1037" t="s">
        <v>233</v>
      </c>
      <c r="C60" s="1038"/>
      <c r="D60" s="1039"/>
      <c r="E60" s="1039"/>
      <c r="F60" s="1039"/>
      <c r="G60" s="1039"/>
      <c r="H60" s="1039"/>
      <c r="I60" s="1039"/>
      <c r="J60" s="1039"/>
      <c r="K60" s="1039"/>
      <c r="L60" s="1039"/>
      <c r="M60" s="1039"/>
      <c r="N60" s="1040"/>
    </row>
    <row r="61" spans="1:14" ht="37.5" customHeight="1" x14ac:dyDescent="0.25">
      <c r="A61" s="478">
        <f t="shared" si="6"/>
        <v>0</v>
      </c>
      <c r="B61" s="1037" t="s">
        <v>422</v>
      </c>
      <c r="C61" s="1038"/>
      <c r="D61" s="1039"/>
      <c r="E61" s="1039"/>
      <c r="F61" s="1039"/>
      <c r="G61" s="1039"/>
      <c r="H61" s="1039"/>
      <c r="I61" s="1039"/>
      <c r="J61" s="1039"/>
      <c r="K61" s="1039"/>
      <c r="L61" s="1039"/>
      <c r="M61" s="1039"/>
      <c r="N61" s="1040"/>
    </row>
    <row r="62" spans="1:14" ht="37.5" customHeight="1" x14ac:dyDescent="0.25">
      <c r="A62" s="478">
        <f t="shared" si="6"/>
        <v>0</v>
      </c>
      <c r="B62" s="1037" t="s">
        <v>423</v>
      </c>
      <c r="C62" s="1038"/>
      <c r="D62" s="1039"/>
      <c r="E62" s="1039"/>
      <c r="F62" s="1039"/>
      <c r="G62" s="1039"/>
      <c r="H62" s="1039"/>
      <c r="I62" s="1039"/>
      <c r="J62" s="1039"/>
      <c r="K62" s="1039"/>
      <c r="L62" s="1039"/>
      <c r="M62" s="1039"/>
      <c r="N62" s="1040"/>
    </row>
    <row r="63" spans="1:14" ht="37.5" customHeight="1" thickBot="1" x14ac:dyDescent="0.3">
      <c r="A63" s="478">
        <f t="shared" si="6"/>
        <v>0</v>
      </c>
      <c r="B63" s="1041" t="s">
        <v>424</v>
      </c>
      <c r="C63" s="1042"/>
      <c r="D63" s="1043"/>
      <c r="E63" s="1043"/>
      <c r="F63" s="1043"/>
      <c r="G63" s="1043"/>
      <c r="H63" s="1043"/>
      <c r="I63" s="1043"/>
      <c r="J63" s="1043"/>
      <c r="K63" s="1043"/>
      <c r="L63" s="1043"/>
      <c r="M63" s="1043"/>
      <c r="N63" s="1044"/>
    </row>
    <row r="64" spans="1:14" ht="15.75" thickBot="1" x14ac:dyDescent="0.3">
      <c r="A64" s="478"/>
    </row>
    <row r="65" spans="1:14" x14ac:dyDescent="0.25">
      <c r="A65" s="478">
        <f>IF(OR($F$65="0",$F$65=""),0,1)</f>
        <v>0</v>
      </c>
      <c r="B65" s="1047" cm="1">
        <f t="array" ref="B65">IFERROR(INDEX(_xlfn._xlws.FILTER($P$14:$P$28,$Q$14:$Q$28=1,""),O17),0)</f>
        <v>0</v>
      </c>
      <c r="C65" s="1048"/>
      <c r="D65" s="1048"/>
      <c r="E65" s="1048"/>
      <c r="F65" s="441" t="str">
        <f>LEFT(B65,1)</f>
        <v>0</v>
      </c>
      <c r="G65" s="441"/>
      <c r="H65" s="441"/>
      <c r="I65" s="441"/>
      <c r="J65" s="441"/>
      <c r="K65" s="441"/>
      <c r="L65" s="441"/>
      <c r="M65" s="441"/>
      <c r="N65" s="442"/>
    </row>
    <row r="66" spans="1:14" ht="37.5" customHeight="1" x14ac:dyDescent="0.25">
      <c r="A66" s="478">
        <f t="shared" ref="A66:A72" si="7">IF(OR($F$65="0",$F$65=""),0,1)</f>
        <v>0</v>
      </c>
      <c r="B66" s="1045" t="s">
        <v>419</v>
      </c>
      <c r="C66" s="1046"/>
      <c r="D66" s="1039"/>
      <c r="E66" s="1039"/>
      <c r="F66" s="1039"/>
      <c r="G66" s="1039"/>
      <c r="H66" s="1039"/>
      <c r="I66" s="1039"/>
      <c r="J66" s="1039"/>
      <c r="K66" s="1039"/>
      <c r="L66" s="1039"/>
      <c r="M66" s="1039"/>
      <c r="N66" s="1040"/>
    </row>
    <row r="67" spans="1:14" ht="37.5" customHeight="1" x14ac:dyDescent="0.25">
      <c r="A67" s="478">
        <f t="shared" si="7"/>
        <v>0</v>
      </c>
      <c r="B67" s="1037" t="s">
        <v>420</v>
      </c>
      <c r="C67" s="1038"/>
      <c r="D67" s="1039"/>
      <c r="E67" s="1039"/>
      <c r="F67" s="1039"/>
      <c r="G67" s="1039"/>
      <c r="H67" s="1039"/>
      <c r="I67" s="1039"/>
      <c r="J67" s="1039"/>
      <c r="K67" s="1039"/>
      <c r="L67" s="1039"/>
      <c r="M67" s="1039"/>
      <c r="N67" s="1040"/>
    </row>
    <row r="68" spans="1:14" ht="37.5" customHeight="1" x14ac:dyDescent="0.25">
      <c r="A68" s="478">
        <f t="shared" si="7"/>
        <v>0</v>
      </c>
      <c r="B68" s="1037" t="s">
        <v>421</v>
      </c>
      <c r="C68" s="1038"/>
      <c r="D68" s="1039"/>
      <c r="E68" s="1039"/>
      <c r="F68" s="1039"/>
      <c r="G68" s="1039"/>
      <c r="H68" s="1039"/>
      <c r="I68" s="1039"/>
      <c r="J68" s="1039"/>
      <c r="K68" s="1039"/>
      <c r="L68" s="1039"/>
      <c r="M68" s="1039"/>
      <c r="N68" s="1040"/>
    </row>
    <row r="69" spans="1:14" ht="37.5" customHeight="1" x14ac:dyDescent="0.25">
      <c r="A69" s="478">
        <f t="shared" si="7"/>
        <v>0</v>
      </c>
      <c r="B69" s="1037" t="s">
        <v>233</v>
      </c>
      <c r="C69" s="1038"/>
      <c r="D69" s="1039"/>
      <c r="E69" s="1039"/>
      <c r="F69" s="1039"/>
      <c r="G69" s="1039"/>
      <c r="H69" s="1039"/>
      <c r="I69" s="1039"/>
      <c r="J69" s="1039"/>
      <c r="K69" s="1039"/>
      <c r="L69" s="1039"/>
      <c r="M69" s="1039"/>
      <c r="N69" s="1040"/>
    </row>
    <row r="70" spans="1:14" ht="37.5" customHeight="1" x14ac:dyDescent="0.25">
      <c r="A70" s="478">
        <f t="shared" si="7"/>
        <v>0</v>
      </c>
      <c r="B70" s="1037" t="s">
        <v>422</v>
      </c>
      <c r="C70" s="1038"/>
      <c r="D70" s="1039"/>
      <c r="E70" s="1039"/>
      <c r="F70" s="1039"/>
      <c r="G70" s="1039"/>
      <c r="H70" s="1039"/>
      <c r="I70" s="1039"/>
      <c r="J70" s="1039"/>
      <c r="K70" s="1039"/>
      <c r="L70" s="1039"/>
      <c r="M70" s="1039"/>
      <c r="N70" s="1040"/>
    </row>
    <row r="71" spans="1:14" ht="37.5" customHeight="1" x14ac:dyDescent="0.25">
      <c r="A71" s="478">
        <f t="shared" si="7"/>
        <v>0</v>
      </c>
      <c r="B71" s="1037" t="s">
        <v>423</v>
      </c>
      <c r="C71" s="1038"/>
      <c r="D71" s="1039"/>
      <c r="E71" s="1039"/>
      <c r="F71" s="1039"/>
      <c r="G71" s="1039"/>
      <c r="H71" s="1039"/>
      <c r="I71" s="1039"/>
      <c r="J71" s="1039"/>
      <c r="K71" s="1039"/>
      <c r="L71" s="1039"/>
      <c r="M71" s="1039"/>
      <c r="N71" s="1040"/>
    </row>
    <row r="72" spans="1:14" ht="37.5" customHeight="1" thickBot="1" x14ac:dyDescent="0.3">
      <c r="A72" s="478">
        <f t="shared" si="7"/>
        <v>0</v>
      </c>
      <c r="B72" s="1041" t="s">
        <v>424</v>
      </c>
      <c r="C72" s="1042"/>
      <c r="D72" s="1043"/>
      <c r="E72" s="1043"/>
      <c r="F72" s="1043"/>
      <c r="G72" s="1043"/>
      <c r="H72" s="1043"/>
      <c r="I72" s="1043"/>
      <c r="J72" s="1043"/>
      <c r="K72" s="1043"/>
      <c r="L72" s="1043"/>
      <c r="M72" s="1043"/>
      <c r="N72" s="1044"/>
    </row>
    <row r="73" spans="1:14" ht="15.75" thickBot="1" x14ac:dyDescent="0.3">
      <c r="A73" s="478"/>
    </row>
    <row r="74" spans="1:14" x14ac:dyDescent="0.25">
      <c r="A74" s="478">
        <f>IF(OR($F$74="0",$F$74=""),0,1)</f>
        <v>0</v>
      </c>
      <c r="B74" s="1047" cm="1">
        <f t="array" ref="B74">IFERROR(INDEX(_xlfn._xlws.FILTER($P$14:$P$28,$Q$14:$Q$28=1,""),O18),0)</f>
        <v>0</v>
      </c>
      <c r="C74" s="1048"/>
      <c r="D74" s="1048"/>
      <c r="E74" s="1048"/>
      <c r="F74" s="441" t="str">
        <f>LEFT(B74,1)</f>
        <v>0</v>
      </c>
      <c r="G74" s="441"/>
      <c r="H74" s="441"/>
      <c r="I74" s="441"/>
      <c r="J74" s="441"/>
      <c r="K74" s="441"/>
      <c r="L74" s="441"/>
      <c r="M74" s="441"/>
      <c r="N74" s="442"/>
    </row>
    <row r="75" spans="1:14" ht="37.5" customHeight="1" x14ac:dyDescent="0.25">
      <c r="A75" s="478">
        <f t="shared" ref="A75:A81" si="8">IF(OR($F$74="0",$F$74=""),0,1)</f>
        <v>0</v>
      </c>
      <c r="B75" s="1045" t="s">
        <v>419</v>
      </c>
      <c r="C75" s="1046"/>
      <c r="D75" s="1039"/>
      <c r="E75" s="1039"/>
      <c r="F75" s="1039"/>
      <c r="G75" s="1039"/>
      <c r="H75" s="1039"/>
      <c r="I75" s="1039"/>
      <c r="J75" s="1039"/>
      <c r="K75" s="1039"/>
      <c r="L75" s="1039"/>
      <c r="M75" s="1039"/>
      <c r="N75" s="1040"/>
    </row>
    <row r="76" spans="1:14" ht="37.5" customHeight="1" x14ac:dyDescent="0.25">
      <c r="A76" s="478">
        <f t="shared" si="8"/>
        <v>0</v>
      </c>
      <c r="B76" s="1037" t="s">
        <v>420</v>
      </c>
      <c r="C76" s="1038"/>
      <c r="D76" s="1039"/>
      <c r="E76" s="1039"/>
      <c r="F76" s="1039"/>
      <c r="G76" s="1039"/>
      <c r="H76" s="1039"/>
      <c r="I76" s="1039"/>
      <c r="J76" s="1039"/>
      <c r="K76" s="1039"/>
      <c r="L76" s="1039"/>
      <c r="M76" s="1039"/>
      <c r="N76" s="1040"/>
    </row>
    <row r="77" spans="1:14" ht="37.5" customHeight="1" x14ac:dyDescent="0.25">
      <c r="A77" s="478">
        <f t="shared" si="8"/>
        <v>0</v>
      </c>
      <c r="B77" s="1037" t="s">
        <v>421</v>
      </c>
      <c r="C77" s="1038"/>
      <c r="D77" s="1039"/>
      <c r="E77" s="1039"/>
      <c r="F77" s="1039"/>
      <c r="G77" s="1039"/>
      <c r="H77" s="1039"/>
      <c r="I77" s="1039"/>
      <c r="J77" s="1039"/>
      <c r="K77" s="1039"/>
      <c r="L77" s="1039"/>
      <c r="M77" s="1039"/>
      <c r="N77" s="1040"/>
    </row>
    <row r="78" spans="1:14" ht="37.5" customHeight="1" x14ac:dyDescent="0.25">
      <c r="A78" s="478">
        <f t="shared" si="8"/>
        <v>0</v>
      </c>
      <c r="B78" s="1037" t="s">
        <v>233</v>
      </c>
      <c r="C78" s="1038"/>
      <c r="D78" s="1039"/>
      <c r="E78" s="1039"/>
      <c r="F78" s="1039"/>
      <c r="G78" s="1039"/>
      <c r="H78" s="1039"/>
      <c r="I78" s="1039"/>
      <c r="J78" s="1039"/>
      <c r="K78" s="1039"/>
      <c r="L78" s="1039"/>
      <c r="M78" s="1039"/>
      <c r="N78" s="1040"/>
    </row>
    <row r="79" spans="1:14" ht="37.5" customHeight="1" x14ac:dyDescent="0.25">
      <c r="A79" s="478">
        <f t="shared" si="8"/>
        <v>0</v>
      </c>
      <c r="B79" s="1037" t="s">
        <v>422</v>
      </c>
      <c r="C79" s="1038"/>
      <c r="D79" s="1039"/>
      <c r="E79" s="1039"/>
      <c r="F79" s="1039"/>
      <c r="G79" s="1039"/>
      <c r="H79" s="1039"/>
      <c r="I79" s="1039"/>
      <c r="J79" s="1039"/>
      <c r="K79" s="1039"/>
      <c r="L79" s="1039"/>
      <c r="M79" s="1039"/>
      <c r="N79" s="1040"/>
    </row>
    <row r="80" spans="1:14" ht="37.5" customHeight="1" x14ac:dyDescent="0.25">
      <c r="A80" s="478">
        <f t="shared" si="8"/>
        <v>0</v>
      </c>
      <c r="B80" s="1037" t="s">
        <v>423</v>
      </c>
      <c r="C80" s="1038"/>
      <c r="D80" s="1039"/>
      <c r="E80" s="1039"/>
      <c r="F80" s="1039"/>
      <c r="G80" s="1039"/>
      <c r="H80" s="1039"/>
      <c r="I80" s="1039"/>
      <c r="J80" s="1039"/>
      <c r="K80" s="1039"/>
      <c r="L80" s="1039"/>
      <c r="M80" s="1039"/>
      <c r="N80" s="1040"/>
    </row>
    <row r="81" spans="1:14" ht="37.5" customHeight="1" thickBot="1" x14ac:dyDescent="0.3">
      <c r="A81" s="478">
        <f t="shared" si="8"/>
        <v>0</v>
      </c>
      <c r="B81" s="1041" t="s">
        <v>424</v>
      </c>
      <c r="C81" s="1042"/>
      <c r="D81" s="1043"/>
      <c r="E81" s="1043"/>
      <c r="F81" s="1043"/>
      <c r="G81" s="1043"/>
      <c r="H81" s="1043"/>
      <c r="I81" s="1043"/>
      <c r="J81" s="1043"/>
      <c r="K81" s="1043"/>
      <c r="L81" s="1043"/>
      <c r="M81" s="1043"/>
      <c r="N81" s="1044"/>
    </row>
    <row r="82" spans="1:14" ht="15.75" thickBot="1" x14ac:dyDescent="0.3">
      <c r="A82" s="478"/>
    </row>
    <row r="83" spans="1:14" x14ac:dyDescent="0.25">
      <c r="A83" s="478">
        <f>IF(OR($F$83="0",$F$83=""),0,1)</f>
        <v>0</v>
      </c>
      <c r="B83" s="1047" cm="1">
        <f t="array" ref="B83">IFERROR(INDEX(_xlfn._xlws.FILTER($P$14:$P$28,$Q$14:$Q$28=1,""),O19),0)</f>
        <v>0</v>
      </c>
      <c r="C83" s="1048"/>
      <c r="D83" s="1048"/>
      <c r="E83" s="1048"/>
      <c r="F83" s="441" t="str">
        <f>LEFT(B83,1)</f>
        <v>0</v>
      </c>
      <c r="G83" s="441"/>
      <c r="H83" s="441"/>
      <c r="I83" s="441"/>
      <c r="J83" s="441"/>
      <c r="K83" s="441"/>
      <c r="L83" s="441"/>
      <c r="M83" s="441"/>
      <c r="N83" s="442"/>
    </row>
    <row r="84" spans="1:14" ht="37.5" customHeight="1" x14ac:dyDescent="0.25">
      <c r="A84" s="478">
        <f t="shared" ref="A84:A90" si="9">IF(OR($F$83="0",$F$83=""),0,1)</f>
        <v>0</v>
      </c>
      <c r="B84" s="1045" t="s">
        <v>419</v>
      </c>
      <c r="C84" s="1046"/>
      <c r="D84" s="1039"/>
      <c r="E84" s="1039"/>
      <c r="F84" s="1039"/>
      <c r="G84" s="1039"/>
      <c r="H84" s="1039"/>
      <c r="I84" s="1039"/>
      <c r="J84" s="1039"/>
      <c r="K84" s="1039"/>
      <c r="L84" s="1039"/>
      <c r="M84" s="1039"/>
      <c r="N84" s="1040"/>
    </row>
    <row r="85" spans="1:14" ht="37.5" customHeight="1" x14ac:dyDescent="0.25">
      <c r="A85" s="478">
        <f t="shared" si="9"/>
        <v>0</v>
      </c>
      <c r="B85" s="1037" t="s">
        <v>420</v>
      </c>
      <c r="C85" s="1038"/>
      <c r="D85" s="1039"/>
      <c r="E85" s="1039"/>
      <c r="F85" s="1039"/>
      <c r="G85" s="1039"/>
      <c r="H85" s="1039"/>
      <c r="I85" s="1039"/>
      <c r="J85" s="1039"/>
      <c r="K85" s="1039"/>
      <c r="L85" s="1039"/>
      <c r="M85" s="1039"/>
      <c r="N85" s="1040"/>
    </row>
    <row r="86" spans="1:14" ht="37.5" customHeight="1" x14ac:dyDescent="0.25">
      <c r="A86" s="478">
        <f t="shared" si="9"/>
        <v>0</v>
      </c>
      <c r="B86" s="1037" t="s">
        <v>421</v>
      </c>
      <c r="C86" s="1038"/>
      <c r="D86" s="1039"/>
      <c r="E86" s="1039"/>
      <c r="F86" s="1039"/>
      <c r="G86" s="1039"/>
      <c r="H86" s="1039"/>
      <c r="I86" s="1039"/>
      <c r="J86" s="1039"/>
      <c r="K86" s="1039"/>
      <c r="L86" s="1039"/>
      <c r="M86" s="1039"/>
      <c r="N86" s="1040"/>
    </row>
    <row r="87" spans="1:14" ht="37.5" customHeight="1" x14ac:dyDescent="0.25">
      <c r="A87" s="478">
        <f t="shared" si="9"/>
        <v>0</v>
      </c>
      <c r="B87" s="1037" t="s">
        <v>233</v>
      </c>
      <c r="C87" s="1038"/>
      <c r="D87" s="1039"/>
      <c r="E87" s="1039"/>
      <c r="F87" s="1039"/>
      <c r="G87" s="1039"/>
      <c r="H87" s="1039"/>
      <c r="I87" s="1039"/>
      <c r="J87" s="1039"/>
      <c r="K87" s="1039"/>
      <c r="L87" s="1039"/>
      <c r="M87" s="1039"/>
      <c r="N87" s="1040"/>
    </row>
    <row r="88" spans="1:14" ht="37.5" customHeight="1" x14ac:dyDescent="0.25">
      <c r="A88" s="478">
        <f t="shared" si="9"/>
        <v>0</v>
      </c>
      <c r="B88" s="1037" t="s">
        <v>422</v>
      </c>
      <c r="C88" s="1038"/>
      <c r="D88" s="1039"/>
      <c r="E88" s="1039"/>
      <c r="F88" s="1039"/>
      <c r="G88" s="1039"/>
      <c r="H88" s="1039"/>
      <c r="I88" s="1039"/>
      <c r="J88" s="1039"/>
      <c r="K88" s="1039"/>
      <c r="L88" s="1039"/>
      <c r="M88" s="1039"/>
      <c r="N88" s="1040"/>
    </row>
    <row r="89" spans="1:14" ht="37.5" customHeight="1" x14ac:dyDescent="0.25">
      <c r="A89" s="478">
        <f t="shared" si="9"/>
        <v>0</v>
      </c>
      <c r="B89" s="1037" t="s">
        <v>423</v>
      </c>
      <c r="C89" s="1038"/>
      <c r="D89" s="1039"/>
      <c r="E89" s="1039"/>
      <c r="F89" s="1039"/>
      <c r="G89" s="1039"/>
      <c r="H89" s="1039"/>
      <c r="I89" s="1039"/>
      <c r="J89" s="1039"/>
      <c r="K89" s="1039"/>
      <c r="L89" s="1039"/>
      <c r="M89" s="1039"/>
      <c r="N89" s="1040"/>
    </row>
    <row r="90" spans="1:14" ht="37.5" customHeight="1" thickBot="1" x14ac:dyDescent="0.3">
      <c r="A90" s="478">
        <f t="shared" si="9"/>
        <v>0</v>
      </c>
      <c r="B90" s="1041" t="s">
        <v>424</v>
      </c>
      <c r="C90" s="1042"/>
      <c r="D90" s="1043"/>
      <c r="E90" s="1043"/>
      <c r="F90" s="1043"/>
      <c r="G90" s="1043"/>
      <c r="H90" s="1043"/>
      <c r="I90" s="1043"/>
      <c r="J90" s="1043"/>
      <c r="K90" s="1043"/>
      <c r="L90" s="1043"/>
      <c r="M90" s="1043"/>
      <c r="N90" s="1044"/>
    </row>
    <row r="91" spans="1:14" ht="15.75" thickBot="1" x14ac:dyDescent="0.3">
      <c r="A91" s="478"/>
    </row>
    <row r="92" spans="1:14" x14ac:dyDescent="0.25">
      <c r="A92" s="478">
        <f>IF(OR($F$92="0",$F$92=""),0,1)</f>
        <v>0</v>
      </c>
      <c r="B92" s="1047" cm="1">
        <f t="array" ref="B92">IFERROR(INDEX(_xlfn._xlws.FILTER($P$14:$P$28,$Q$14:$Q$28=1,""),O20),0)</f>
        <v>0</v>
      </c>
      <c r="C92" s="1048"/>
      <c r="D92" s="1048"/>
      <c r="E92" s="1048"/>
      <c r="F92" s="441" t="str">
        <f>LEFT(B92,1)</f>
        <v>0</v>
      </c>
      <c r="G92" s="441"/>
      <c r="H92" s="441"/>
      <c r="I92" s="441"/>
      <c r="J92" s="441"/>
      <c r="K92" s="441"/>
      <c r="L92" s="441"/>
      <c r="M92" s="441"/>
      <c r="N92" s="442"/>
    </row>
    <row r="93" spans="1:14" ht="37.5" customHeight="1" x14ac:dyDescent="0.25">
      <c r="A93" s="478">
        <f t="shared" ref="A93:A99" si="10">IF(OR($F$92="0",$F$92=""),0,1)</f>
        <v>0</v>
      </c>
      <c r="B93" s="1045" t="s">
        <v>419</v>
      </c>
      <c r="C93" s="1046"/>
      <c r="D93" s="1039"/>
      <c r="E93" s="1039"/>
      <c r="F93" s="1039"/>
      <c r="G93" s="1039"/>
      <c r="H93" s="1039"/>
      <c r="I93" s="1039"/>
      <c r="J93" s="1039"/>
      <c r="K93" s="1039"/>
      <c r="L93" s="1039"/>
      <c r="M93" s="1039"/>
      <c r="N93" s="1040"/>
    </row>
    <row r="94" spans="1:14" ht="37.5" customHeight="1" x14ac:dyDescent="0.25">
      <c r="A94" s="478">
        <f t="shared" si="10"/>
        <v>0</v>
      </c>
      <c r="B94" s="1037" t="s">
        <v>420</v>
      </c>
      <c r="C94" s="1038"/>
      <c r="D94" s="1039"/>
      <c r="E94" s="1039"/>
      <c r="F94" s="1039"/>
      <c r="G94" s="1039"/>
      <c r="H94" s="1039"/>
      <c r="I94" s="1039"/>
      <c r="J94" s="1039"/>
      <c r="K94" s="1039"/>
      <c r="L94" s="1039"/>
      <c r="M94" s="1039"/>
      <c r="N94" s="1040"/>
    </row>
    <row r="95" spans="1:14" ht="37.5" customHeight="1" x14ac:dyDescent="0.25">
      <c r="A95" s="478">
        <f t="shared" si="10"/>
        <v>0</v>
      </c>
      <c r="B95" s="1037" t="s">
        <v>421</v>
      </c>
      <c r="C95" s="1038"/>
      <c r="D95" s="1039"/>
      <c r="E95" s="1039"/>
      <c r="F95" s="1039"/>
      <c r="G95" s="1039"/>
      <c r="H95" s="1039"/>
      <c r="I95" s="1039"/>
      <c r="J95" s="1039"/>
      <c r="K95" s="1039"/>
      <c r="L95" s="1039"/>
      <c r="M95" s="1039"/>
      <c r="N95" s="1040"/>
    </row>
    <row r="96" spans="1:14" ht="37.5" customHeight="1" x14ac:dyDescent="0.25">
      <c r="A96" s="478">
        <f t="shared" si="10"/>
        <v>0</v>
      </c>
      <c r="B96" s="1037" t="s">
        <v>233</v>
      </c>
      <c r="C96" s="1038"/>
      <c r="D96" s="1039"/>
      <c r="E96" s="1039"/>
      <c r="F96" s="1039"/>
      <c r="G96" s="1039"/>
      <c r="H96" s="1039"/>
      <c r="I96" s="1039"/>
      <c r="J96" s="1039"/>
      <c r="K96" s="1039"/>
      <c r="L96" s="1039"/>
      <c r="M96" s="1039"/>
      <c r="N96" s="1040"/>
    </row>
    <row r="97" spans="1:14" ht="37.5" customHeight="1" x14ac:dyDescent="0.25">
      <c r="A97" s="478">
        <f t="shared" si="10"/>
        <v>0</v>
      </c>
      <c r="B97" s="1037" t="s">
        <v>422</v>
      </c>
      <c r="C97" s="1038"/>
      <c r="D97" s="1039"/>
      <c r="E97" s="1039"/>
      <c r="F97" s="1039"/>
      <c r="G97" s="1039"/>
      <c r="H97" s="1039"/>
      <c r="I97" s="1039"/>
      <c r="J97" s="1039"/>
      <c r="K97" s="1039"/>
      <c r="L97" s="1039"/>
      <c r="M97" s="1039"/>
      <c r="N97" s="1040"/>
    </row>
    <row r="98" spans="1:14" ht="37.5" customHeight="1" x14ac:dyDescent="0.25">
      <c r="A98" s="478">
        <f t="shared" si="10"/>
        <v>0</v>
      </c>
      <c r="B98" s="1037" t="s">
        <v>423</v>
      </c>
      <c r="C98" s="1038"/>
      <c r="D98" s="1039"/>
      <c r="E98" s="1039"/>
      <c r="F98" s="1039"/>
      <c r="G98" s="1039"/>
      <c r="H98" s="1039"/>
      <c r="I98" s="1039"/>
      <c r="J98" s="1039"/>
      <c r="K98" s="1039"/>
      <c r="L98" s="1039"/>
      <c r="M98" s="1039"/>
      <c r="N98" s="1040"/>
    </row>
    <row r="99" spans="1:14" ht="37.5" customHeight="1" thickBot="1" x14ac:dyDescent="0.3">
      <c r="A99" s="478">
        <f t="shared" si="10"/>
        <v>0</v>
      </c>
      <c r="B99" s="1041" t="s">
        <v>424</v>
      </c>
      <c r="C99" s="1042"/>
      <c r="D99" s="1043"/>
      <c r="E99" s="1043"/>
      <c r="F99" s="1043"/>
      <c r="G99" s="1043"/>
      <c r="H99" s="1043"/>
      <c r="I99" s="1043"/>
      <c r="J99" s="1043"/>
      <c r="K99" s="1043"/>
      <c r="L99" s="1043"/>
      <c r="M99" s="1043"/>
      <c r="N99" s="1044"/>
    </row>
    <row r="100" spans="1:14" ht="15.75" thickBot="1" x14ac:dyDescent="0.3">
      <c r="A100" s="478"/>
    </row>
    <row r="101" spans="1:14" x14ac:dyDescent="0.25">
      <c r="A101" s="478">
        <f>IF(OR($F$101="0",$F$101=""),0,1)</f>
        <v>0</v>
      </c>
      <c r="B101" s="1047" cm="1">
        <f t="array" ref="B101">IFERROR(INDEX(_xlfn._xlws.FILTER($P$14:$P$28,$Q$14:$Q$28=1,""),O21),0)</f>
        <v>0</v>
      </c>
      <c r="C101" s="1048"/>
      <c r="D101" s="1048"/>
      <c r="E101" s="1048"/>
      <c r="F101" s="441" t="str">
        <f>LEFT(B101,1)</f>
        <v>0</v>
      </c>
      <c r="G101" s="441"/>
      <c r="H101" s="441"/>
      <c r="I101" s="441"/>
      <c r="J101" s="441"/>
      <c r="K101" s="441"/>
      <c r="L101" s="441"/>
      <c r="M101" s="441"/>
      <c r="N101" s="442"/>
    </row>
    <row r="102" spans="1:14" ht="37.5" customHeight="1" x14ac:dyDescent="0.25">
      <c r="A102" s="478">
        <f t="shared" ref="A102:A108" si="11">IF(OR($F$101="0",$F$101=""),0,1)</f>
        <v>0</v>
      </c>
      <c r="B102" s="1045" t="s">
        <v>419</v>
      </c>
      <c r="C102" s="1046"/>
      <c r="D102" s="1039"/>
      <c r="E102" s="1039"/>
      <c r="F102" s="1039"/>
      <c r="G102" s="1039"/>
      <c r="H102" s="1039"/>
      <c r="I102" s="1039"/>
      <c r="J102" s="1039"/>
      <c r="K102" s="1039"/>
      <c r="L102" s="1039"/>
      <c r="M102" s="1039"/>
      <c r="N102" s="1040"/>
    </row>
    <row r="103" spans="1:14" ht="37.5" customHeight="1" x14ac:dyDescent="0.25">
      <c r="A103" s="478">
        <f t="shared" si="11"/>
        <v>0</v>
      </c>
      <c r="B103" s="1037" t="s">
        <v>420</v>
      </c>
      <c r="C103" s="1038"/>
      <c r="D103" s="1039"/>
      <c r="E103" s="1039"/>
      <c r="F103" s="1039"/>
      <c r="G103" s="1039"/>
      <c r="H103" s="1039"/>
      <c r="I103" s="1039"/>
      <c r="J103" s="1039"/>
      <c r="K103" s="1039"/>
      <c r="L103" s="1039"/>
      <c r="M103" s="1039"/>
      <c r="N103" s="1040"/>
    </row>
    <row r="104" spans="1:14" ht="37.5" customHeight="1" x14ac:dyDescent="0.25">
      <c r="A104" s="478">
        <f t="shared" si="11"/>
        <v>0</v>
      </c>
      <c r="B104" s="1037" t="s">
        <v>421</v>
      </c>
      <c r="C104" s="1038"/>
      <c r="D104" s="1039"/>
      <c r="E104" s="1039"/>
      <c r="F104" s="1039"/>
      <c r="G104" s="1039"/>
      <c r="H104" s="1039"/>
      <c r="I104" s="1039"/>
      <c r="J104" s="1039"/>
      <c r="K104" s="1039"/>
      <c r="L104" s="1039"/>
      <c r="M104" s="1039"/>
      <c r="N104" s="1040"/>
    </row>
    <row r="105" spans="1:14" ht="37.5" customHeight="1" x14ac:dyDescent="0.25">
      <c r="A105" s="478">
        <f t="shared" si="11"/>
        <v>0</v>
      </c>
      <c r="B105" s="1037" t="s">
        <v>233</v>
      </c>
      <c r="C105" s="1038"/>
      <c r="D105" s="1039"/>
      <c r="E105" s="1039"/>
      <c r="F105" s="1039"/>
      <c r="G105" s="1039"/>
      <c r="H105" s="1039"/>
      <c r="I105" s="1039"/>
      <c r="J105" s="1039"/>
      <c r="K105" s="1039"/>
      <c r="L105" s="1039"/>
      <c r="M105" s="1039"/>
      <c r="N105" s="1040"/>
    </row>
    <row r="106" spans="1:14" ht="37.5" customHeight="1" x14ac:dyDescent="0.25">
      <c r="A106" s="478">
        <f t="shared" si="11"/>
        <v>0</v>
      </c>
      <c r="B106" s="1037" t="s">
        <v>422</v>
      </c>
      <c r="C106" s="1038"/>
      <c r="D106" s="1039"/>
      <c r="E106" s="1039"/>
      <c r="F106" s="1039"/>
      <c r="G106" s="1039"/>
      <c r="H106" s="1039"/>
      <c r="I106" s="1039"/>
      <c r="J106" s="1039"/>
      <c r="K106" s="1039"/>
      <c r="L106" s="1039"/>
      <c r="M106" s="1039"/>
      <c r="N106" s="1040"/>
    </row>
    <row r="107" spans="1:14" ht="37.5" customHeight="1" x14ac:dyDescent="0.25">
      <c r="A107" s="478">
        <f t="shared" si="11"/>
        <v>0</v>
      </c>
      <c r="B107" s="1037" t="s">
        <v>423</v>
      </c>
      <c r="C107" s="1038"/>
      <c r="D107" s="1039"/>
      <c r="E107" s="1039"/>
      <c r="F107" s="1039"/>
      <c r="G107" s="1039"/>
      <c r="H107" s="1039"/>
      <c r="I107" s="1039"/>
      <c r="J107" s="1039"/>
      <c r="K107" s="1039"/>
      <c r="L107" s="1039"/>
      <c r="M107" s="1039"/>
      <c r="N107" s="1040"/>
    </row>
    <row r="108" spans="1:14" ht="37.5" customHeight="1" thickBot="1" x14ac:dyDescent="0.3">
      <c r="A108" s="478">
        <f t="shared" si="11"/>
        <v>0</v>
      </c>
      <c r="B108" s="1041" t="s">
        <v>424</v>
      </c>
      <c r="C108" s="1042"/>
      <c r="D108" s="1043"/>
      <c r="E108" s="1043"/>
      <c r="F108" s="1043"/>
      <c r="G108" s="1043"/>
      <c r="H108" s="1043"/>
      <c r="I108" s="1043"/>
      <c r="J108" s="1043"/>
      <c r="K108" s="1043"/>
      <c r="L108" s="1043"/>
      <c r="M108" s="1043"/>
      <c r="N108" s="1044"/>
    </row>
    <row r="109" spans="1:14" ht="15.75" thickBot="1" x14ac:dyDescent="0.3">
      <c r="A109" s="478"/>
    </row>
    <row r="110" spans="1:14" x14ac:dyDescent="0.25">
      <c r="A110" s="478">
        <f>IF(OR($F$110="0",$F$110=""),0,1)</f>
        <v>0</v>
      </c>
      <c r="B110" s="1047" cm="1">
        <f t="array" ref="B110">IFERROR(INDEX(_xlfn._xlws.FILTER($P$14:$P$28,$Q$14:$Q$28=1,""),O22),0)</f>
        <v>0</v>
      </c>
      <c r="C110" s="1048"/>
      <c r="D110" s="1048"/>
      <c r="E110" s="1048"/>
      <c r="F110" s="441" t="str">
        <f>LEFT(B110,1)</f>
        <v>0</v>
      </c>
      <c r="G110" s="441"/>
      <c r="H110" s="441"/>
      <c r="I110" s="441"/>
      <c r="J110" s="441"/>
      <c r="K110" s="441"/>
      <c r="L110" s="441"/>
      <c r="M110" s="441"/>
      <c r="N110" s="442"/>
    </row>
    <row r="111" spans="1:14" ht="37.5" customHeight="1" x14ac:dyDescent="0.25">
      <c r="A111" s="478">
        <f t="shared" ref="A111:A117" si="12">IF(OR($F$110="0",$F$110=""),0,1)</f>
        <v>0</v>
      </c>
      <c r="B111" s="1045" t="s">
        <v>419</v>
      </c>
      <c r="C111" s="1046"/>
      <c r="D111" s="1039"/>
      <c r="E111" s="1039"/>
      <c r="F111" s="1039"/>
      <c r="G111" s="1039"/>
      <c r="H111" s="1039"/>
      <c r="I111" s="1039"/>
      <c r="J111" s="1039"/>
      <c r="K111" s="1039"/>
      <c r="L111" s="1039"/>
      <c r="M111" s="1039"/>
      <c r="N111" s="1040"/>
    </row>
    <row r="112" spans="1:14" ht="37.5" customHeight="1" x14ac:dyDescent="0.25">
      <c r="A112" s="478">
        <f t="shared" si="12"/>
        <v>0</v>
      </c>
      <c r="B112" s="1037" t="s">
        <v>420</v>
      </c>
      <c r="C112" s="1038"/>
      <c r="D112" s="1039"/>
      <c r="E112" s="1039"/>
      <c r="F112" s="1039"/>
      <c r="G112" s="1039"/>
      <c r="H112" s="1039"/>
      <c r="I112" s="1039"/>
      <c r="J112" s="1039"/>
      <c r="K112" s="1039"/>
      <c r="L112" s="1039"/>
      <c r="M112" s="1039"/>
      <c r="N112" s="1040"/>
    </row>
    <row r="113" spans="1:14" ht="37.5" customHeight="1" x14ac:dyDescent="0.25">
      <c r="A113" s="478">
        <f t="shared" si="12"/>
        <v>0</v>
      </c>
      <c r="B113" s="1037" t="s">
        <v>421</v>
      </c>
      <c r="C113" s="1038"/>
      <c r="D113" s="1039"/>
      <c r="E113" s="1039"/>
      <c r="F113" s="1039"/>
      <c r="G113" s="1039"/>
      <c r="H113" s="1039"/>
      <c r="I113" s="1039"/>
      <c r="J113" s="1039"/>
      <c r="K113" s="1039"/>
      <c r="L113" s="1039"/>
      <c r="M113" s="1039"/>
      <c r="N113" s="1040"/>
    </row>
    <row r="114" spans="1:14" ht="37.5" customHeight="1" x14ac:dyDescent="0.25">
      <c r="A114" s="478">
        <f t="shared" si="12"/>
        <v>0</v>
      </c>
      <c r="B114" s="1037" t="s">
        <v>233</v>
      </c>
      <c r="C114" s="1038"/>
      <c r="D114" s="1039"/>
      <c r="E114" s="1039"/>
      <c r="F114" s="1039"/>
      <c r="G114" s="1039"/>
      <c r="H114" s="1039"/>
      <c r="I114" s="1039"/>
      <c r="J114" s="1039"/>
      <c r="K114" s="1039"/>
      <c r="L114" s="1039"/>
      <c r="M114" s="1039"/>
      <c r="N114" s="1040"/>
    </row>
    <row r="115" spans="1:14" ht="37.5" customHeight="1" x14ac:dyDescent="0.25">
      <c r="A115" s="478">
        <f t="shared" si="12"/>
        <v>0</v>
      </c>
      <c r="B115" s="1037" t="s">
        <v>422</v>
      </c>
      <c r="C115" s="1038"/>
      <c r="D115" s="1039"/>
      <c r="E115" s="1039"/>
      <c r="F115" s="1039"/>
      <c r="G115" s="1039"/>
      <c r="H115" s="1039"/>
      <c r="I115" s="1039"/>
      <c r="J115" s="1039"/>
      <c r="K115" s="1039"/>
      <c r="L115" s="1039"/>
      <c r="M115" s="1039"/>
      <c r="N115" s="1040"/>
    </row>
    <row r="116" spans="1:14" ht="37.5" customHeight="1" x14ac:dyDescent="0.25">
      <c r="A116" s="478">
        <f t="shared" si="12"/>
        <v>0</v>
      </c>
      <c r="B116" s="1037" t="s">
        <v>423</v>
      </c>
      <c r="C116" s="1038"/>
      <c r="D116" s="1039"/>
      <c r="E116" s="1039"/>
      <c r="F116" s="1039"/>
      <c r="G116" s="1039"/>
      <c r="H116" s="1039"/>
      <c r="I116" s="1039"/>
      <c r="J116" s="1039"/>
      <c r="K116" s="1039"/>
      <c r="L116" s="1039"/>
      <c r="M116" s="1039"/>
      <c r="N116" s="1040"/>
    </row>
    <row r="117" spans="1:14" ht="37.5" customHeight="1" thickBot="1" x14ac:dyDescent="0.3">
      <c r="A117" s="478">
        <f t="shared" si="12"/>
        <v>0</v>
      </c>
      <c r="B117" s="1041" t="s">
        <v>424</v>
      </c>
      <c r="C117" s="1042"/>
      <c r="D117" s="1043"/>
      <c r="E117" s="1043"/>
      <c r="F117" s="1043"/>
      <c r="G117" s="1043"/>
      <c r="H117" s="1043"/>
      <c r="I117" s="1043"/>
      <c r="J117" s="1043"/>
      <c r="K117" s="1043"/>
      <c r="L117" s="1043"/>
      <c r="M117" s="1043"/>
      <c r="N117" s="1044"/>
    </row>
    <row r="118" spans="1:14" ht="15.75" thickBot="1" x14ac:dyDescent="0.3">
      <c r="A118" s="478"/>
    </row>
    <row r="119" spans="1:14" x14ac:dyDescent="0.25">
      <c r="A119" s="478">
        <f>IF(OR($F$119="0",$F$119=""),0,1)</f>
        <v>0</v>
      </c>
      <c r="B119" s="1047" cm="1">
        <f t="array" ref="B119">IFERROR(INDEX(_xlfn._xlws.FILTER($P$14:$P$28,$Q$14:$Q$28=1,""),O23),0)</f>
        <v>0</v>
      </c>
      <c r="C119" s="1048"/>
      <c r="D119" s="1048"/>
      <c r="E119" s="1048"/>
      <c r="F119" s="441" t="str">
        <f>LEFT(B119,1)</f>
        <v>0</v>
      </c>
      <c r="G119" s="441"/>
      <c r="H119" s="441"/>
      <c r="I119" s="441"/>
      <c r="J119" s="441"/>
      <c r="K119" s="441"/>
      <c r="L119" s="441"/>
      <c r="M119" s="441"/>
      <c r="N119" s="442"/>
    </row>
    <row r="120" spans="1:14" ht="37.5" customHeight="1" x14ac:dyDescent="0.25">
      <c r="A120" s="478">
        <f t="shared" ref="A120:A126" si="13">IF(OR($F$119="0",$F$119=""),0,1)</f>
        <v>0</v>
      </c>
      <c r="B120" s="1045" t="s">
        <v>419</v>
      </c>
      <c r="C120" s="1046"/>
      <c r="D120" s="1039"/>
      <c r="E120" s="1039"/>
      <c r="F120" s="1039"/>
      <c r="G120" s="1039"/>
      <c r="H120" s="1039"/>
      <c r="I120" s="1039"/>
      <c r="J120" s="1039"/>
      <c r="K120" s="1039"/>
      <c r="L120" s="1039"/>
      <c r="M120" s="1039"/>
      <c r="N120" s="1040"/>
    </row>
    <row r="121" spans="1:14" ht="37.5" customHeight="1" x14ac:dyDescent="0.25">
      <c r="A121" s="478">
        <f t="shared" si="13"/>
        <v>0</v>
      </c>
      <c r="B121" s="1037" t="s">
        <v>420</v>
      </c>
      <c r="C121" s="1038"/>
      <c r="D121" s="1039"/>
      <c r="E121" s="1039"/>
      <c r="F121" s="1039"/>
      <c r="G121" s="1039"/>
      <c r="H121" s="1039"/>
      <c r="I121" s="1039"/>
      <c r="J121" s="1039"/>
      <c r="K121" s="1039"/>
      <c r="L121" s="1039"/>
      <c r="M121" s="1039"/>
      <c r="N121" s="1040"/>
    </row>
    <row r="122" spans="1:14" ht="37.5" customHeight="1" x14ac:dyDescent="0.25">
      <c r="A122" s="478">
        <f t="shared" si="13"/>
        <v>0</v>
      </c>
      <c r="B122" s="1037" t="s">
        <v>421</v>
      </c>
      <c r="C122" s="1038"/>
      <c r="D122" s="1039"/>
      <c r="E122" s="1039"/>
      <c r="F122" s="1039"/>
      <c r="G122" s="1039"/>
      <c r="H122" s="1039"/>
      <c r="I122" s="1039"/>
      <c r="J122" s="1039"/>
      <c r="K122" s="1039"/>
      <c r="L122" s="1039"/>
      <c r="M122" s="1039"/>
      <c r="N122" s="1040"/>
    </row>
    <row r="123" spans="1:14" ht="37.5" customHeight="1" x14ac:dyDescent="0.25">
      <c r="A123" s="478">
        <f t="shared" si="13"/>
        <v>0</v>
      </c>
      <c r="B123" s="1037" t="s">
        <v>233</v>
      </c>
      <c r="C123" s="1038"/>
      <c r="D123" s="1039"/>
      <c r="E123" s="1039"/>
      <c r="F123" s="1039"/>
      <c r="G123" s="1039"/>
      <c r="H123" s="1039"/>
      <c r="I123" s="1039"/>
      <c r="J123" s="1039"/>
      <c r="K123" s="1039"/>
      <c r="L123" s="1039"/>
      <c r="M123" s="1039"/>
      <c r="N123" s="1040"/>
    </row>
    <row r="124" spans="1:14" ht="37.5" customHeight="1" x14ac:dyDescent="0.25">
      <c r="A124" s="478">
        <f t="shared" si="13"/>
        <v>0</v>
      </c>
      <c r="B124" s="1037" t="s">
        <v>422</v>
      </c>
      <c r="C124" s="1038"/>
      <c r="D124" s="1039"/>
      <c r="E124" s="1039"/>
      <c r="F124" s="1039"/>
      <c r="G124" s="1039"/>
      <c r="H124" s="1039"/>
      <c r="I124" s="1039"/>
      <c r="J124" s="1039"/>
      <c r="K124" s="1039"/>
      <c r="L124" s="1039"/>
      <c r="M124" s="1039"/>
      <c r="N124" s="1040"/>
    </row>
    <row r="125" spans="1:14" ht="37.5" customHeight="1" x14ac:dyDescent="0.25">
      <c r="A125" s="478">
        <f t="shared" si="13"/>
        <v>0</v>
      </c>
      <c r="B125" s="1037" t="s">
        <v>423</v>
      </c>
      <c r="C125" s="1038"/>
      <c r="D125" s="1039"/>
      <c r="E125" s="1039"/>
      <c r="F125" s="1039"/>
      <c r="G125" s="1039"/>
      <c r="H125" s="1039"/>
      <c r="I125" s="1039"/>
      <c r="J125" s="1039"/>
      <c r="K125" s="1039"/>
      <c r="L125" s="1039"/>
      <c r="M125" s="1039"/>
      <c r="N125" s="1040"/>
    </row>
    <row r="126" spans="1:14" ht="37.5" customHeight="1" thickBot="1" x14ac:dyDescent="0.3">
      <c r="A126" s="478">
        <f t="shared" si="13"/>
        <v>0</v>
      </c>
      <c r="B126" s="1041" t="s">
        <v>424</v>
      </c>
      <c r="C126" s="1042"/>
      <c r="D126" s="1043"/>
      <c r="E126" s="1043"/>
      <c r="F126" s="1043"/>
      <c r="G126" s="1043"/>
      <c r="H126" s="1043"/>
      <c r="I126" s="1043"/>
      <c r="J126" s="1043"/>
      <c r="K126" s="1043"/>
      <c r="L126" s="1043"/>
      <c r="M126" s="1043"/>
      <c r="N126" s="1044"/>
    </row>
    <row r="127" spans="1:14" ht="15.75" thickBot="1" x14ac:dyDescent="0.3">
      <c r="A127" s="478"/>
    </row>
    <row r="128" spans="1:14" x14ac:dyDescent="0.25">
      <c r="A128" s="478">
        <f>IF(OR($F$128="0",$F$128=""),0,1)</f>
        <v>0</v>
      </c>
      <c r="B128" s="1047" cm="1">
        <f t="array" ref="B128">IFERROR(INDEX(_xlfn._xlws.FILTER($P$14:$P$28,$Q$14:$Q$28=1,""),O24),0)</f>
        <v>0</v>
      </c>
      <c r="C128" s="1048"/>
      <c r="D128" s="1048"/>
      <c r="E128" s="1048"/>
      <c r="F128" s="441" t="str">
        <f>LEFT(B128,1)</f>
        <v>0</v>
      </c>
      <c r="G128" s="441"/>
      <c r="H128" s="441"/>
      <c r="I128" s="441"/>
      <c r="J128" s="441"/>
      <c r="K128" s="441"/>
      <c r="L128" s="441"/>
      <c r="M128" s="441"/>
      <c r="N128" s="442"/>
    </row>
    <row r="129" spans="1:14" ht="37.5" customHeight="1" x14ac:dyDescent="0.25">
      <c r="A129" s="478">
        <f t="shared" ref="A129:A135" si="14">IF(OR($F$128="0",$F$128=""),0,1)</f>
        <v>0</v>
      </c>
      <c r="B129" s="1045" t="s">
        <v>419</v>
      </c>
      <c r="C129" s="1046"/>
      <c r="D129" s="1039"/>
      <c r="E129" s="1039"/>
      <c r="F129" s="1039"/>
      <c r="G129" s="1039"/>
      <c r="H129" s="1039"/>
      <c r="I129" s="1039"/>
      <c r="J129" s="1039"/>
      <c r="K129" s="1039"/>
      <c r="L129" s="1039"/>
      <c r="M129" s="1039"/>
      <c r="N129" s="1040"/>
    </row>
    <row r="130" spans="1:14" ht="37.5" customHeight="1" x14ac:dyDescent="0.25">
      <c r="A130" s="478">
        <f t="shared" si="14"/>
        <v>0</v>
      </c>
      <c r="B130" s="1037" t="s">
        <v>420</v>
      </c>
      <c r="C130" s="1038"/>
      <c r="D130" s="1039"/>
      <c r="E130" s="1039"/>
      <c r="F130" s="1039"/>
      <c r="G130" s="1039"/>
      <c r="H130" s="1039"/>
      <c r="I130" s="1039"/>
      <c r="J130" s="1039"/>
      <c r="K130" s="1039"/>
      <c r="L130" s="1039"/>
      <c r="M130" s="1039"/>
      <c r="N130" s="1040"/>
    </row>
    <row r="131" spans="1:14" ht="37.5" customHeight="1" x14ac:dyDescent="0.25">
      <c r="A131" s="478">
        <f t="shared" si="14"/>
        <v>0</v>
      </c>
      <c r="B131" s="1037" t="s">
        <v>421</v>
      </c>
      <c r="C131" s="1038"/>
      <c r="D131" s="1039"/>
      <c r="E131" s="1039"/>
      <c r="F131" s="1039"/>
      <c r="G131" s="1039"/>
      <c r="H131" s="1039"/>
      <c r="I131" s="1039"/>
      <c r="J131" s="1039"/>
      <c r="K131" s="1039"/>
      <c r="L131" s="1039"/>
      <c r="M131" s="1039"/>
      <c r="N131" s="1040"/>
    </row>
    <row r="132" spans="1:14" ht="37.5" customHeight="1" x14ac:dyDescent="0.25">
      <c r="A132" s="478">
        <f t="shared" si="14"/>
        <v>0</v>
      </c>
      <c r="B132" s="1037" t="s">
        <v>233</v>
      </c>
      <c r="C132" s="1038"/>
      <c r="D132" s="1039"/>
      <c r="E132" s="1039"/>
      <c r="F132" s="1039"/>
      <c r="G132" s="1039"/>
      <c r="H132" s="1039"/>
      <c r="I132" s="1039"/>
      <c r="J132" s="1039"/>
      <c r="K132" s="1039"/>
      <c r="L132" s="1039"/>
      <c r="M132" s="1039"/>
      <c r="N132" s="1040"/>
    </row>
    <row r="133" spans="1:14" ht="37.5" customHeight="1" x14ac:dyDescent="0.25">
      <c r="A133" s="478">
        <f t="shared" si="14"/>
        <v>0</v>
      </c>
      <c r="B133" s="1037" t="s">
        <v>422</v>
      </c>
      <c r="C133" s="1038"/>
      <c r="D133" s="1039"/>
      <c r="E133" s="1039"/>
      <c r="F133" s="1039"/>
      <c r="G133" s="1039"/>
      <c r="H133" s="1039"/>
      <c r="I133" s="1039"/>
      <c r="J133" s="1039"/>
      <c r="K133" s="1039"/>
      <c r="L133" s="1039"/>
      <c r="M133" s="1039"/>
      <c r="N133" s="1040"/>
    </row>
    <row r="134" spans="1:14" ht="37.5" customHeight="1" x14ac:dyDescent="0.25">
      <c r="A134" s="478">
        <f t="shared" si="14"/>
        <v>0</v>
      </c>
      <c r="B134" s="1037" t="s">
        <v>423</v>
      </c>
      <c r="C134" s="1038"/>
      <c r="D134" s="1039"/>
      <c r="E134" s="1039"/>
      <c r="F134" s="1039"/>
      <c r="G134" s="1039"/>
      <c r="H134" s="1039"/>
      <c r="I134" s="1039"/>
      <c r="J134" s="1039"/>
      <c r="K134" s="1039"/>
      <c r="L134" s="1039"/>
      <c r="M134" s="1039"/>
      <c r="N134" s="1040"/>
    </row>
    <row r="135" spans="1:14" ht="37.5" customHeight="1" thickBot="1" x14ac:dyDescent="0.3">
      <c r="A135" s="478">
        <f t="shared" si="14"/>
        <v>0</v>
      </c>
      <c r="B135" s="1041" t="s">
        <v>424</v>
      </c>
      <c r="C135" s="1042"/>
      <c r="D135" s="1043"/>
      <c r="E135" s="1043"/>
      <c r="F135" s="1043"/>
      <c r="G135" s="1043"/>
      <c r="H135" s="1043"/>
      <c r="I135" s="1043"/>
      <c r="J135" s="1043"/>
      <c r="K135" s="1043"/>
      <c r="L135" s="1043"/>
      <c r="M135" s="1043"/>
      <c r="N135" s="1044"/>
    </row>
    <row r="136" spans="1:14" ht="15.75" thickBot="1" x14ac:dyDescent="0.3">
      <c r="A136" s="478"/>
    </row>
    <row r="137" spans="1:14" x14ac:dyDescent="0.25">
      <c r="A137" s="478">
        <f>IF(OR($F$137="0",$F$137=""),0,1)</f>
        <v>0</v>
      </c>
      <c r="B137" s="1047" cm="1">
        <f t="array" ref="B137">IFERROR(INDEX(_xlfn._xlws.FILTER($P$14:$P$28,$Q$14:$Q$28=1,""),O25),0)</f>
        <v>0</v>
      </c>
      <c r="C137" s="1048"/>
      <c r="D137" s="1048"/>
      <c r="E137" s="1048"/>
      <c r="F137" s="441" t="str">
        <f>LEFT(B137,1)</f>
        <v>0</v>
      </c>
      <c r="G137" s="441"/>
      <c r="H137" s="441"/>
      <c r="I137" s="441"/>
      <c r="J137" s="441"/>
      <c r="K137" s="441"/>
      <c r="L137" s="441"/>
      <c r="M137" s="441"/>
      <c r="N137" s="442"/>
    </row>
    <row r="138" spans="1:14" ht="37.5" customHeight="1" x14ac:dyDescent="0.25">
      <c r="A138" s="478">
        <f t="shared" ref="A138:A144" si="15">IF(OR($F$137="0",$F$137=""),0,1)</f>
        <v>0</v>
      </c>
      <c r="B138" s="1045" t="s">
        <v>419</v>
      </c>
      <c r="C138" s="1046"/>
      <c r="D138" s="1039"/>
      <c r="E138" s="1039"/>
      <c r="F138" s="1039"/>
      <c r="G138" s="1039"/>
      <c r="H138" s="1039"/>
      <c r="I138" s="1039"/>
      <c r="J138" s="1039"/>
      <c r="K138" s="1039"/>
      <c r="L138" s="1039"/>
      <c r="M138" s="1039"/>
      <c r="N138" s="1040"/>
    </row>
    <row r="139" spans="1:14" ht="37.5" customHeight="1" x14ac:dyDescent="0.25">
      <c r="A139" s="478">
        <f t="shared" si="15"/>
        <v>0</v>
      </c>
      <c r="B139" s="1037" t="s">
        <v>420</v>
      </c>
      <c r="C139" s="1038"/>
      <c r="D139" s="1039"/>
      <c r="E139" s="1039"/>
      <c r="F139" s="1039"/>
      <c r="G139" s="1039"/>
      <c r="H139" s="1039"/>
      <c r="I139" s="1039"/>
      <c r="J139" s="1039"/>
      <c r="K139" s="1039"/>
      <c r="L139" s="1039"/>
      <c r="M139" s="1039"/>
      <c r="N139" s="1040"/>
    </row>
    <row r="140" spans="1:14" ht="37.5" customHeight="1" x14ac:dyDescent="0.25">
      <c r="A140" s="478">
        <f t="shared" si="15"/>
        <v>0</v>
      </c>
      <c r="B140" s="1037" t="s">
        <v>421</v>
      </c>
      <c r="C140" s="1038"/>
      <c r="D140" s="1039"/>
      <c r="E140" s="1039"/>
      <c r="F140" s="1039"/>
      <c r="G140" s="1039"/>
      <c r="H140" s="1039"/>
      <c r="I140" s="1039"/>
      <c r="J140" s="1039"/>
      <c r="K140" s="1039"/>
      <c r="L140" s="1039"/>
      <c r="M140" s="1039"/>
      <c r="N140" s="1040"/>
    </row>
    <row r="141" spans="1:14" ht="37.5" customHeight="1" x14ac:dyDescent="0.25">
      <c r="A141" s="478">
        <f t="shared" si="15"/>
        <v>0</v>
      </c>
      <c r="B141" s="1037" t="s">
        <v>233</v>
      </c>
      <c r="C141" s="1038"/>
      <c r="D141" s="1039"/>
      <c r="E141" s="1039"/>
      <c r="F141" s="1039"/>
      <c r="G141" s="1039"/>
      <c r="H141" s="1039"/>
      <c r="I141" s="1039"/>
      <c r="J141" s="1039"/>
      <c r="K141" s="1039"/>
      <c r="L141" s="1039"/>
      <c r="M141" s="1039"/>
      <c r="N141" s="1040"/>
    </row>
    <row r="142" spans="1:14" ht="37.5" customHeight="1" x14ac:dyDescent="0.25">
      <c r="A142" s="478">
        <f t="shared" si="15"/>
        <v>0</v>
      </c>
      <c r="B142" s="1037" t="s">
        <v>422</v>
      </c>
      <c r="C142" s="1038"/>
      <c r="D142" s="1039"/>
      <c r="E142" s="1039"/>
      <c r="F142" s="1039"/>
      <c r="G142" s="1039"/>
      <c r="H142" s="1039"/>
      <c r="I142" s="1039"/>
      <c r="J142" s="1039"/>
      <c r="K142" s="1039"/>
      <c r="L142" s="1039"/>
      <c r="M142" s="1039"/>
      <c r="N142" s="1040"/>
    </row>
    <row r="143" spans="1:14" ht="37.5" customHeight="1" x14ac:dyDescent="0.25">
      <c r="A143" s="478">
        <f t="shared" si="15"/>
        <v>0</v>
      </c>
      <c r="B143" s="1037" t="s">
        <v>423</v>
      </c>
      <c r="C143" s="1038"/>
      <c r="D143" s="1039"/>
      <c r="E143" s="1039"/>
      <c r="F143" s="1039"/>
      <c r="G143" s="1039"/>
      <c r="H143" s="1039"/>
      <c r="I143" s="1039"/>
      <c r="J143" s="1039"/>
      <c r="K143" s="1039"/>
      <c r="L143" s="1039"/>
      <c r="M143" s="1039"/>
      <c r="N143" s="1040"/>
    </row>
    <row r="144" spans="1:14" ht="37.5" customHeight="1" thickBot="1" x14ac:dyDescent="0.3">
      <c r="A144" s="478">
        <f t="shared" si="15"/>
        <v>0</v>
      </c>
      <c r="B144" s="1041" t="s">
        <v>424</v>
      </c>
      <c r="C144" s="1042"/>
      <c r="D144" s="1043"/>
      <c r="E144" s="1043"/>
      <c r="F144" s="1043"/>
      <c r="G144" s="1043"/>
      <c r="H144" s="1043"/>
      <c r="I144" s="1043"/>
      <c r="J144" s="1043"/>
      <c r="K144" s="1043"/>
      <c r="L144" s="1043"/>
      <c r="M144" s="1043"/>
      <c r="N144" s="1044"/>
    </row>
    <row r="145" spans="1:14" ht="15.75" thickBot="1" x14ac:dyDescent="0.3">
      <c r="A145" s="478"/>
    </row>
    <row r="146" spans="1:14" x14ac:dyDescent="0.25">
      <c r="A146" s="478">
        <f>IF(OR($F$146="0",$F$146=""),0,1)</f>
        <v>0</v>
      </c>
      <c r="B146" s="1047" cm="1">
        <f t="array" ref="B146">IFERROR(INDEX(_xlfn._xlws.FILTER($P$14:$P$28,$Q$14:$Q$28=1,""),O26),0)</f>
        <v>0</v>
      </c>
      <c r="C146" s="1048"/>
      <c r="D146" s="1048"/>
      <c r="E146" s="1048"/>
      <c r="F146" s="441" t="str">
        <f>LEFT(B146,1)</f>
        <v>0</v>
      </c>
      <c r="G146" s="441"/>
      <c r="H146" s="441"/>
      <c r="I146" s="441"/>
      <c r="J146" s="441"/>
      <c r="K146" s="441"/>
      <c r="L146" s="441"/>
      <c r="M146" s="441"/>
      <c r="N146" s="442"/>
    </row>
    <row r="147" spans="1:14" ht="37.5" customHeight="1" x14ac:dyDescent="0.25">
      <c r="A147" s="478">
        <f t="shared" ref="A147:A153" si="16">IF(OR($F$146="0",$F$146=""),0,1)</f>
        <v>0</v>
      </c>
      <c r="B147" s="1045" t="s">
        <v>419</v>
      </c>
      <c r="C147" s="1046"/>
      <c r="D147" s="1039"/>
      <c r="E147" s="1039"/>
      <c r="F147" s="1039"/>
      <c r="G147" s="1039"/>
      <c r="H147" s="1039"/>
      <c r="I147" s="1039"/>
      <c r="J147" s="1039"/>
      <c r="K147" s="1039"/>
      <c r="L147" s="1039"/>
      <c r="M147" s="1039"/>
      <c r="N147" s="1040"/>
    </row>
    <row r="148" spans="1:14" ht="37.5" customHeight="1" x14ac:dyDescent="0.25">
      <c r="A148" s="478">
        <f t="shared" si="16"/>
        <v>0</v>
      </c>
      <c r="B148" s="1037" t="s">
        <v>420</v>
      </c>
      <c r="C148" s="1038"/>
      <c r="D148" s="1039"/>
      <c r="E148" s="1039"/>
      <c r="F148" s="1039"/>
      <c r="G148" s="1039"/>
      <c r="H148" s="1039"/>
      <c r="I148" s="1039"/>
      <c r="J148" s="1039"/>
      <c r="K148" s="1039"/>
      <c r="L148" s="1039"/>
      <c r="M148" s="1039"/>
      <c r="N148" s="1040"/>
    </row>
    <row r="149" spans="1:14" ht="37.5" customHeight="1" x14ac:dyDescent="0.25">
      <c r="A149" s="478">
        <f t="shared" si="16"/>
        <v>0</v>
      </c>
      <c r="B149" s="1037" t="s">
        <v>421</v>
      </c>
      <c r="C149" s="1038"/>
      <c r="D149" s="1039"/>
      <c r="E149" s="1039"/>
      <c r="F149" s="1039"/>
      <c r="G149" s="1039"/>
      <c r="H149" s="1039"/>
      <c r="I149" s="1039"/>
      <c r="J149" s="1039"/>
      <c r="K149" s="1039"/>
      <c r="L149" s="1039"/>
      <c r="M149" s="1039"/>
      <c r="N149" s="1040"/>
    </row>
    <row r="150" spans="1:14" ht="37.5" customHeight="1" x14ac:dyDescent="0.25">
      <c r="A150" s="478">
        <f t="shared" si="16"/>
        <v>0</v>
      </c>
      <c r="B150" s="1037" t="s">
        <v>233</v>
      </c>
      <c r="C150" s="1038"/>
      <c r="D150" s="1039"/>
      <c r="E150" s="1039"/>
      <c r="F150" s="1039"/>
      <c r="G150" s="1039"/>
      <c r="H150" s="1039"/>
      <c r="I150" s="1039"/>
      <c r="J150" s="1039"/>
      <c r="K150" s="1039"/>
      <c r="L150" s="1039"/>
      <c r="M150" s="1039"/>
      <c r="N150" s="1040"/>
    </row>
    <row r="151" spans="1:14" ht="37.5" customHeight="1" x14ac:dyDescent="0.25">
      <c r="A151" s="478">
        <f t="shared" si="16"/>
        <v>0</v>
      </c>
      <c r="B151" s="1037" t="s">
        <v>422</v>
      </c>
      <c r="C151" s="1038"/>
      <c r="D151" s="1039"/>
      <c r="E151" s="1039"/>
      <c r="F151" s="1039"/>
      <c r="G151" s="1039"/>
      <c r="H151" s="1039"/>
      <c r="I151" s="1039"/>
      <c r="J151" s="1039"/>
      <c r="K151" s="1039"/>
      <c r="L151" s="1039"/>
      <c r="M151" s="1039"/>
      <c r="N151" s="1040"/>
    </row>
    <row r="152" spans="1:14" ht="37.5" customHeight="1" x14ac:dyDescent="0.25">
      <c r="A152" s="478">
        <f t="shared" si="16"/>
        <v>0</v>
      </c>
      <c r="B152" s="1037" t="s">
        <v>423</v>
      </c>
      <c r="C152" s="1038"/>
      <c r="D152" s="1039"/>
      <c r="E152" s="1039"/>
      <c r="F152" s="1039"/>
      <c r="G152" s="1039"/>
      <c r="H152" s="1039"/>
      <c r="I152" s="1039"/>
      <c r="J152" s="1039"/>
      <c r="K152" s="1039"/>
      <c r="L152" s="1039"/>
      <c r="M152" s="1039"/>
      <c r="N152" s="1040"/>
    </row>
    <row r="153" spans="1:14" ht="37.5" customHeight="1" thickBot="1" x14ac:dyDescent="0.3">
      <c r="A153" s="478">
        <f t="shared" si="16"/>
        <v>0</v>
      </c>
      <c r="B153" s="1041" t="s">
        <v>424</v>
      </c>
      <c r="C153" s="1042"/>
      <c r="D153" s="1043"/>
      <c r="E153" s="1043"/>
      <c r="F153" s="1043"/>
      <c r="G153" s="1043"/>
      <c r="H153" s="1043"/>
      <c r="I153" s="1043"/>
      <c r="J153" s="1043"/>
      <c r="K153" s="1043"/>
      <c r="L153" s="1043"/>
      <c r="M153" s="1043"/>
      <c r="N153" s="1044"/>
    </row>
    <row r="154" spans="1:14" ht="15.75" thickBot="1" x14ac:dyDescent="0.3">
      <c r="A154" s="478"/>
    </row>
    <row r="155" spans="1:14" x14ac:dyDescent="0.25">
      <c r="A155" s="478">
        <f>IF(OR($F$155="0",$F$155=""),0,1)</f>
        <v>0</v>
      </c>
      <c r="B155" s="1047" cm="1">
        <f t="array" ref="B155">IFERROR(INDEX(_xlfn._xlws.FILTER($P$14:$P$28,$Q$14:$Q$28=1,""),O27),0)</f>
        <v>0</v>
      </c>
      <c r="C155" s="1048"/>
      <c r="D155" s="1048"/>
      <c r="E155" s="1048"/>
      <c r="F155" s="441" t="str">
        <f>LEFT(B155,1)</f>
        <v>0</v>
      </c>
      <c r="G155" s="441"/>
      <c r="H155" s="441"/>
      <c r="I155" s="441"/>
      <c r="J155" s="441"/>
      <c r="K155" s="441"/>
      <c r="L155" s="441"/>
      <c r="M155" s="441"/>
      <c r="N155" s="442"/>
    </row>
    <row r="156" spans="1:14" ht="37.5" customHeight="1" x14ac:dyDescent="0.25">
      <c r="A156" s="478">
        <f t="shared" ref="A156:A162" si="17">IF(OR($F$155="0",$F$155=""),0,1)</f>
        <v>0</v>
      </c>
      <c r="B156" s="1045" t="s">
        <v>419</v>
      </c>
      <c r="C156" s="1046"/>
      <c r="D156" s="1039"/>
      <c r="E156" s="1039"/>
      <c r="F156" s="1039"/>
      <c r="G156" s="1039"/>
      <c r="H156" s="1039"/>
      <c r="I156" s="1039"/>
      <c r="J156" s="1039"/>
      <c r="K156" s="1039"/>
      <c r="L156" s="1039"/>
      <c r="M156" s="1039"/>
      <c r="N156" s="1040"/>
    </row>
    <row r="157" spans="1:14" ht="37.5" customHeight="1" x14ac:dyDescent="0.25">
      <c r="A157" s="478">
        <f t="shared" si="17"/>
        <v>0</v>
      </c>
      <c r="B157" s="1037" t="s">
        <v>420</v>
      </c>
      <c r="C157" s="1038"/>
      <c r="D157" s="1039"/>
      <c r="E157" s="1039"/>
      <c r="F157" s="1039"/>
      <c r="G157" s="1039"/>
      <c r="H157" s="1039"/>
      <c r="I157" s="1039"/>
      <c r="J157" s="1039"/>
      <c r="K157" s="1039"/>
      <c r="L157" s="1039"/>
      <c r="M157" s="1039"/>
      <c r="N157" s="1040"/>
    </row>
    <row r="158" spans="1:14" ht="37.5" customHeight="1" x14ac:dyDescent="0.25">
      <c r="A158" s="478">
        <f t="shared" si="17"/>
        <v>0</v>
      </c>
      <c r="B158" s="1037" t="s">
        <v>421</v>
      </c>
      <c r="C158" s="1038"/>
      <c r="D158" s="1039"/>
      <c r="E158" s="1039"/>
      <c r="F158" s="1039"/>
      <c r="G158" s="1039"/>
      <c r="H158" s="1039"/>
      <c r="I158" s="1039"/>
      <c r="J158" s="1039"/>
      <c r="K158" s="1039"/>
      <c r="L158" s="1039"/>
      <c r="M158" s="1039"/>
      <c r="N158" s="1040"/>
    </row>
    <row r="159" spans="1:14" ht="37.5" customHeight="1" x14ac:dyDescent="0.25">
      <c r="A159" s="478">
        <f t="shared" si="17"/>
        <v>0</v>
      </c>
      <c r="B159" s="1037" t="s">
        <v>233</v>
      </c>
      <c r="C159" s="1038"/>
      <c r="D159" s="1039"/>
      <c r="E159" s="1039"/>
      <c r="F159" s="1039"/>
      <c r="G159" s="1039"/>
      <c r="H159" s="1039"/>
      <c r="I159" s="1039"/>
      <c r="J159" s="1039"/>
      <c r="K159" s="1039"/>
      <c r="L159" s="1039"/>
      <c r="M159" s="1039"/>
      <c r="N159" s="1040"/>
    </row>
    <row r="160" spans="1:14" ht="37.5" customHeight="1" x14ac:dyDescent="0.25">
      <c r="A160" s="478">
        <f t="shared" si="17"/>
        <v>0</v>
      </c>
      <c r="B160" s="1037" t="s">
        <v>422</v>
      </c>
      <c r="C160" s="1038"/>
      <c r="D160" s="1039"/>
      <c r="E160" s="1039"/>
      <c r="F160" s="1039"/>
      <c r="G160" s="1039"/>
      <c r="H160" s="1039"/>
      <c r="I160" s="1039"/>
      <c r="J160" s="1039"/>
      <c r="K160" s="1039"/>
      <c r="L160" s="1039"/>
      <c r="M160" s="1039"/>
      <c r="N160" s="1040"/>
    </row>
    <row r="161" spans="1:14" ht="37.5" customHeight="1" x14ac:dyDescent="0.25">
      <c r="A161" s="478">
        <f t="shared" si="17"/>
        <v>0</v>
      </c>
      <c r="B161" s="1037" t="s">
        <v>423</v>
      </c>
      <c r="C161" s="1038"/>
      <c r="D161" s="1039"/>
      <c r="E161" s="1039"/>
      <c r="F161" s="1039"/>
      <c r="G161" s="1039"/>
      <c r="H161" s="1039"/>
      <c r="I161" s="1039"/>
      <c r="J161" s="1039"/>
      <c r="K161" s="1039"/>
      <c r="L161" s="1039"/>
      <c r="M161" s="1039"/>
      <c r="N161" s="1040"/>
    </row>
    <row r="162" spans="1:14" ht="37.5" customHeight="1" thickBot="1" x14ac:dyDescent="0.3">
      <c r="A162" s="478">
        <f t="shared" si="17"/>
        <v>0</v>
      </c>
      <c r="B162" s="1041" t="s">
        <v>424</v>
      </c>
      <c r="C162" s="1042"/>
      <c r="D162" s="1043"/>
      <c r="E162" s="1043"/>
      <c r="F162" s="1043"/>
      <c r="G162" s="1043"/>
      <c r="H162" s="1043"/>
      <c r="I162" s="1043"/>
      <c r="J162" s="1043"/>
      <c r="K162" s="1043"/>
      <c r="L162" s="1043"/>
      <c r="M162" s="1043"/>
      <c r="N162" s="1044"/>
    </row>
    <row r="163" spans="1:14" ht="15.75" thickBot="1" x14ac:dyDescent="0.3">
      <c r="A163" s="478"/>
    </row>
    <row r="164" spans="1:14" x14ac:dyDescent="0.25">
      <c r="A164" s="478">
        <f>IF(OR($F$164="0",$F$164=""),0,1)</f>
        <v>0</v>
      </c>
      <c r="B164" s="1047" cm="1">
        <f t="array" ref="B164">IFERROR(INDEX(_xlfn._xlws.FILTER($P$14:$P$28,$Q$14:$Q$28=1,""),O28),0)</f>
        <v>0</v>
      </c>
      <c r="C164" s="1048"/>
      <c r="D164" s="1048"/>
      <c r="E164" s="1048"/>
      <c r="F164" s="441" t="str">
        <f>LEFT(B164,1)</f>
        <v>0</v>
      </c>
      <c r="G164" s="441"/>
      <c r="H164" s="441"/>
      <c r="I164" s="441"/>
      <c r="J164" s="441"/>
      <c r="K164" s="441"/>
      <c r="L164" s="441"/>
      <c r="M164" s="441"/>
      <c r="N164" s="442"/>
    </row>
    <row r="165" spans="1:14" ht="37.5" customHeight="1" x14ac:dyDescent="0.25">
      <c r="A165" s="478">
        <f t="shared" ref="A165:A171" si="18">IF(OR($F$164="0",$F$164=""),0,1)</f>
        <v>0</v>
      </c>
      <c r="B165" s="1045" t="s">
        <v>419</v>
      </c>
      <c r="C165" s="1046"/>
      <c r="D165" s="1039"/>
      <c r="E165" s="1039"/>
      <c r="F165" s="1039"/>
      <c r="G165" s="1039"/>
      <c r="H165" s="1039"/>
      <c r="I165" s="1039"/>
      <c r="J165" s="1039"/>
      <c r="K165" s="1039"/>
      <c r="L165" s="1039"/>
      <c r="M165" s="1039"/>
      <c r="N165" s="1040"/>
    </row>
    <row r="166" spans="1:14" ht="37.5" customHeight="1" x14ac:dyDescent="0.25">
      <c r="A166" s="478">
        <f t="shared" si="18"/>
        <v>0</v>
      </c>
      <c r="B166" s="1037" t="s">
        <v>420</v>
      </c>
      <c r="C166" s="1038"/>
      <c r="D166" s="1039"/>
      <c r="E166" s="1039"/>
      <c r="F166" s="1039"/>
      <c r="G166" s="1039"/>
      <c r="H166" s="1039"/>
      <c r="I166" s="1039"/>
      <c r="J166" s="1039"/>
      <c r="K166" s="1039"/>
      <c r="L166" s="1039"/>
      <c r="M166" s="1039"/>
      <c r="N166" s="1040"/>
    </row>
    <row r="167" spans="1:14" ht="37.5" customHeight="1" x14ac:dyDescent="0.25">
      <c r="A167" s="478">
        <f t="shared" si="18"/>
        <v>0</v>
      </c>
      <c r="B167" s="1037" t="s">
        <v>421</v>
      </c>
      <c r="C167" s="1038"/>
      <c r="D167" s="1039"/>
      <c r="E167" s="1039"/>
      <c r="F167" s="1039"/>
      <c r="G167" s="1039"/>
      <c r="H167" s="1039"/>
      <c r="I167" s="1039"/>
      <c r="J167" s="1039"/>
      <c r="K167" s="1039"/>
      <c r="L167" s="1039"/>
      <c r="M167" s="1039"/>
      <c r="N167" s="1040"/>
    </row>
    <row r="168" spans="1:14" ht="37.5" customHeight="1" x14ac:dyDescent="0.25">
      <c r="A168" s="478">
        <f t="shared" si="18"/>
        <v>0</v>
      </c>
      <c r="B168" s="1037" t="s">
        <v>233</v>
      </c>
      <c r="C168" s="1038"/>
      <c r="D168" s="1039"/>
      <c r="E168" s="1039"/>
      <c r="F168" s="1039"/>
      <c r="G168" s="1039"/>
      <c r="H168" s="1039"/>
      <c r="I168" s="1039"/>
      <c r="J168" s="1039"/>
      <c r="K168" s="1039"/>
      <c r="L168" s="1039"/>
      <c r="M168" s="1039"/>
      <c r="N168" s="1040"/>
    </row>
    <row r="169" spans="1:14" ht="37.5" customHeight="1" x14ac:dyDescent="0.25">
      <c r="A169" s="478">
        <f t="shared" si="18"/>
        <v>0</v>
      </c>
      <c r="B169" s="1037" t="s">
        <v>422</v>
      </c>
      <c r="C169" s="1038"/>
      <c r="D169" s="1039"/>
      <c r="E169" s="1039"/>
      <c r="F169" s="1039"/>
      <c r="G169" s="1039"/>
      <c r="H169" s="1039"/>
      <c r="I169" s="1039"/>
      <c r="J169" s="1039"/>
      <c r="K169" s="1039"/>
      <c r="L169" s="1039"/>
      <c r="M169" s="1039"/>
      <c r="N169" s="1040"/>
    </row>
    <row r="170" spans="1:14" ht="37.5" customHeight="1" x14ac:dyDescent="0.25">
      <c r="A170" s="478">
        <f t="shared" si="18"/>
        <v>0</v>
      </c>
      <c r="B170" s="1037" t="s">
        <v>423</v>
      </c>
      <c r="C170" s="1038"/>
      <c r="D170" s="1039"/>
      <c r="E170" s="1039"/>
      <c r="F170" s="1039"/>
      <c r="G170" s="1039"/>
      <c r="H170" s="1039"/>
      <c r="I170" s="1039"/>
      <c r="J170" s="1039"/>
      <c r="K170" s="1039"/>
      <c r="L170" s="1039"/>
      <c r="M170" s="1039"/>
      <c r="N170" s="1040"/>
    </row>
    <row r="171" spans="1:14" ht="37.5" customHeight="1" thickBot="1" x14ac:dyDescent="0.3">
      <c r="A171" s="478">
        <f t="shared" si="18"/>
        <v>0</v>
      </c>
      <c r="B171" s="1041" t="s">
        <v>424</v>
      </c>
      <c r="C171" s="1042"/>
      <c r="D171" s="1043"/>
      <c r="E171" s="1043"/>
      <c r="F171" s="1043"/>
      <c r="G171" s="1043"/>
      <c r="H171" s="1043"/>
      <c r="I171" s="1043"/>
      <c r="J171" s="1043"/>
      <c r="K171" s="1043"/>
      <c r="L171" s="1043"/>
      <c r="M171" s="1043"/>
      <c r="N171" s="1044"/>
    </row>
  </sheetData>
  <sheetProtection sheet="1" objects="1" scenarios="1"/>
  <protectedRanges>
    <protectedRange sqref="D39:N45 D48:N54 D57:N63 D66:N72 D75:N81 D84:N90 D93:N99 D102:N108 D111:N117 D120:N126 D129:N135 D138:N144 D147:N153 D156:N162 D165:N171" name="Chapter 2"/>
    <protectedRange sqref="H14:H17 H20:H23 H26:H29 H32:H34" name="Chapter 1"/>
  </protectedRanges>
  <dataConsolidate/>
  <mergeCells count="237">
    <mergeCell ref="H10:I10"/>
    <mergeCell ref="F10:G10"/>
    <mergeCell ref="F11:G11"/>
    <mergeCell ref="H11:I11"/>
    <mergeCell ref="B38:E38"/>
    <mergeCell ref="B39:C39"/>
    <mergeCell ref="B40:C40"/>
    <mergeCell ref="B41:C41"/>
    <mergeCell ref="B42:C42"/>
    <mergeCell ref="D40:N40"/>
    <mergeCell ref="D39:N39"/>
    <mergeCell ref="D67:N67"/>
    <mergeCell ref="B68:C68"/>
    <mergeCell ref="D68:N68"/>
    <mergeCell ref="B69:C69"/>
    <mergeCell ref="D69:N69"/>
    <mergeCell ref="B70:C70"/>
    <mergeCell ref="D70:N70"/>
    <mergeCell ref="B71:C71"/>
    <mergeCell ref="D71:N71"/>
    <mergeCell ref="B2:F5"/>
    <mergeCell ref="B155:E155"/>
    <mergeCell ref="B164:E164"/>
    <mergeCell ref="B36:N36"/>
    <mergeCell ref="B8:N8"/>
    <mergeCell ref="G2:J4"/>
    <mergeCell ref="K3:N3"/>
    <mergeCell ref="K4:N4"/>
    <mergeCell ref="G5:J5"/>
    <mergeCell ref="K5:N5"/>
    <mergeCell ref="B110:E110"/>
    <mergeCell ref="B119:E119"/>
    <mergeCell ref="B128:E128"/>
    <mergeCell ref="B137:E137"/>
    <mergeCell ref="B146:E146"/>
    <mergeCell ref="B56:E56"/>
    <mergeCell ref="B65:E65"/>
    <mergeCell ref="B74:E74"/>
    <mergeCell ref="B83:E83"/>
    <mergeCell ref="B92:E92"/>
    <mergeCell ref="B101:E101"/>
    <mergeCell ref="B67:C67"/>
    <mergeCell ref="B48:C48"/>
    <mergeCell ref="D48:N48"/>
    <mergeCell ref="B49:C49"/>
    <mergeCell ref="D49:N49"/>
    <mergeCell ref="B50:C50"/>
    <mergeCell ref="D50:N50"/>
    <mergeCell ref="D43:N43"/>
    <mergeCell ref="D42:N42"/>
    <mergeCell ref="D41:N41"/>
    <mergeCell ref="B47:E47"/>
    <mergeCell ref="B43:C43"/>
    <mergeCell ref="B44:C44"/>
    <mergeCell ref="B45:C45"/>
    <mergeCell ref="D45:N45"/>
    <mergeCell ref="D44:N44"/>
    <mergeCell ref="B54:C54"/>
    <mergeCell ref="D54:N54"/>
    <mergeCell ref="B57:C57"/>
    <mergeCell ref="D57:N57"/>
    <mergeCell ref="B58:C58"/>
    <mergeCell ref="D58:N58"/>
    <mergeCell ref="B51:C51"/>
    <mergeCell ref="D51:N51"/>
    <mergeCell ref="B52:C52"/>
    <mergeCell ref="D52:N52"/>
    <mergeCell ref="B53:C53"/>
    <mergeCell ref="D53:N53"/>
    <mergeCell ref="B62:C62"/>
    <mergeCell ref="D62:N62"/>
    <mergeCell ref="B63:C63"/>
    <mergeCell ref="D63:N63"/>
    <mergeCell ref="B66:C66"/>
    <mergeCell ref="D66:N66"/>
    <mergeCell ref="B59:C59"/>
    <mergeCell ref="D59:N59"/>
    <mergeCell ref="B60:C60"/>
    <mergeCell ref="D60:N60"/>
    <mergeCell ref="B61:C61"/>
    <mergeCell ref="D61:N61"/>
    <mergeCell ref="B77:C77"/>
    <mergeCell ref="D77:N77"/>
    <mergeCell ref="B78:C78"/>
    <mergeCell ref="D78:N78"/>
    <mergeCell ref="B79:C79"/>
    <mergeCell ref="D79:N79"/>
    <mergeCell ref="D72:N72"/>
    <mergeCell ref="B75:C75"/>
    <mergeCell ref="D75:N75"/>
    <mergeCell ref="B76:C76"/>
    <mergeCell ref="D76:N76"/>
    <mergeCell ref="B72:C72"/>
    <mergeCell ref="B85:C85"/>
    <mergeCell ref="D85:N85"/>
    <mergeCell ref="B86:C86"/>
    <mergeCell ref="D86:N86"/>
    <mergeCell ref="B87:C87"/>
    <mergeCell ref="D87:N87"/>
    <mergeCell ref="B80:C80"/>
    <mergeCell ref="D80:N80"/>
    <mergeCell ref="B81:C81"/>
    <mergeCell ref="D81:N81"/>
    <mergeCell ref="B84:C84"/>
    <mergeCell ref="D84:N84"/>
    <mergeCell ref="B93:C93"/>
    <mergeCell ref="D93:N93"/>
    <mergeCell ref="B94:C94"/>
    <mergeCell ref="D94:N94"/>
    <mergeCell ref="B95:C95"/>
    <mergeCell ref="D95:N95"/>
    <mergeCell ref="B88:C88"/>
    <mergeCell ref="D88:N88"/>
    <mergeCell ref="B89:C89"/>
    <mergeCell ref="D89:N89"/>
    <mergeCell ref="B90:C90"/>
    <mergeCell ref="D90:N90"/>
    <mergeCell ref="B99:C99"/>
    <mergeCell ref="D99:N99"/>
    <mergeCell ref="B102:C102"/>
    <mergeCell ref="D102:N102"/>
    <mergeCell ref="B103:C103"/>
    <mergeCell ref="D103:N103"/>
    <mergeCell ref="B96:C96"/>
    <mergeCell ref="D96:N96"/>
    <mergeCell ref="B97:C97"/>
    <mergeCell ref="D97:N97"/>
    <mergeCell ref="B98:C98"/>
    <mergeCell ref="D98:N98"/>
    <mergeCell ref="B107:C107"/>
    <mergeCell ref="D107:N107"/>
    <mergeCell ref="B108:C108"/>
    <mergeCell ref="D108:N108"/>
    <mergeCell ref="B111:C111"/>
    <mergeCell ref="D111:N111"/>
    <mergeCell ref="B104:C104"/>
    <mergeCell ref="D104:N104"/>
    <mergeCell ref="B105:C105"/>
    <mergeCell ref="D105:N105"/>
    <mergeCell ref="B106:C106"/>
    <mergeCell ref="D106:N106"/>
    <mergeCell ref="B115:C115"/>
    <mergeCell ref="D115:N115"/>
    <mergeCell ref="B116:C116"/>
    <mergeCell ref="D116:N116"/>
    <mergeCell ref="B117:C117"/>
    <mergeCell ref="D117:N117"/>
    <mergeCell ref="B112:C112"/>
    <mergeCell ref="D112:N112"/>
    <mergeCell ref="B113:C113"/>
    <mergeCell ref="D113:N113"/>
    <mergeCell ref="B114:C114"/>
    <mergeCell ref="D114:N114"/>
    <mergeCell ref="B123:C123"/>
    <mergeCell ref="D123:N123"/>
    <mergeCell ref="B124:C124"/>
    <mergeCell ref="D124:N124"/>
    <mergeCell ref="B125:C125"/>
    <mergeCell ref="D125:N125"/>
    <mergeCell ref="B120:C120"/>
    <mergeCell ref="D120:N120"/>
    <mergeCell ref="B121:C121"/>
    <mergeCell ref="D121:N121"/>
    <mergeCell ref="B122:C122"/>
    <mergeCell ref="D122:N122"/>
    <mergeCell ref="B131:C131"/>
    <mergeCell ref="D131:N131"/>
    <mergeCell ref="B132:C132"/>
    <mergeCell ref="D132:N132"/>
    <mergeCell ref="B133:C133"/>
    <mergeCell ref="D133:N133"/>
    <mergeCell ref="B126:C126"/>
    <mergeCell ref="D126:N126"/>
    <mergeCell ref="B129:C129"/>
    <mergeCell ref="D129:N129"/>
    <mergeCell ref="B130:C130"/>
    <mergeCell ref="D130:N130"/>
    <mergeCell ref="B139:C139"/>
    <mergeCell ref="D139:N139"/>
    <mergeCell ref="B140:C140"/>
    <mergeCell ref="D140:N140"/>
    <mergeCell ref="B141:C141"/>
    <mergeCell ref="D141:N141"/>
    <mergeCell ref="B134:C134"/>
    <mergeCell ref="D134:N134"/>
    <mergeCell ref="B135:C135"/>
    <mergeCell ref="D135:N135"/>
    <mergeCell ref="B138:C138"/>
    <mergeCell ref="D138:N138"/>
    <mergeCell ref="B147:C147"/>
    <mergeCell ref="D147:N147"/>
    <mergeCell ref="B148:C148"/>
    <mergeCell ref="D148:N148"/>
    <mergeCell ref="B149:C149"/>
    <mergeCell ref="D149:N149"/>
    <mergeCell ref="B142:C142"/>
    <mergeCell ref="D142:N142"/>
    <mergeCell ref="B143:C143"/>
    <mergeCell ref="D143:N143"/>
    <mergeCell ref="B144:C144"/>
    <mergeCell ref="D144:N144"/>
    <mergeCell ref="B153:C153"/>
    <mergeCell ref="D153:N153"/>
    <mergeCell ref="B156:C156"/>
    <mergeCell ref="D156:N156"/>
    <mergeCell ref="B157:C157"/>
    <mergeCell ref="D157:N157"/>
    <mergeCell ref="B150:C150"/>
    <mergeCell ref="D150:N150"/>
    <mergeCell ref="B151:C151"/>
    <mergeCell ref="D151:N151"/>
    <mergeCell ref="B152:C152"/>
    <mergeCell ref="D152:N152"/>
    <mergeCell ref="B161:C161"/>
    <mergeCell ref="D161:N161"/>
    <mergeCell ref="B162:C162"/>
    <mergeCell ref="D162:N162"/>
    <mergeCell ref="B165:C165"/>
    <mergeCell ref="D165:N165"/>
    <mergeCell ref="B158:C158"/>
    <mergeCell ref="D158:N158"/>
    <mergeCell ref="B159:C159"/>
    <mergeCell ref="D159:N159"/>
    <mergeCell ref="B160:C160"/>
    <mergeCell ref="D160:N160"/>
    <mergeCell ref="B169:C169"/>
    <mergeCell ref="D169:N169"/>
    <mergeCell ref="B170:C170"/>
    <mergeCell ref="D170:N170"/>
    <mergeCell ref="B171:C171"/>
    <mergeCell ref="D171:N171"/>
    <mergeCell ref="B166:C166"/>
    <mergeCell ref="D166:N166"/>
    <mergeCell ref="B167:C167"/>
    <mergeCell ref="D167:N167"/>
    <mergeCell ref="B168:C168"/>
    <mergeCell ref="D168:N168"/>
  </mergeCells>
  <conditionalFormatting sqref="B8:N8">
    <cfRule type="expression" dxfId="17" priority="23">
      <formula>$F10=""</formula>
    </cfRule>
  </conditionalFormatting>
  <conditionalFormatting sqref="B14:N14 B16:N16 B20:N20 B22:N22 B26:N26 B28:N28 B32:N32 B34:N34">
    <cfRule type="expression" dxfId="16" priority="22">
      <formula>$F14="N/A"</formula>
    </cfRule>
  </conditionalFormatting>
  <conditionalFormatting sqref="B15:N15 B17:N17 B21:N21 B23:N23 B27:N27 B29:N29 B33:N33">
    <cfRule type="expression" dxfId="15" priority="21">
      <formula>$F15="N/A"</formula>
    </cfRule>
  </conditionalFormatting>
  <conditionalFormatting sqref="B36:N36">
    <cfRule type="expression" dxfId="14" priority="29">
      <formula>$F38=""</formula>
    </cfRule>
  </conditionalFormatting>
  <conditionalFormatting sqref="B38:N38 B39:B44 D39:D44 B47:N47 B48:B53 D48:D53 B56:N56 B57:B62 D57:D62 B65:N65 B66:B71 D66:D71 B74:N74 B75:B80 D75:D80 B83:N83 B84:B89 D84:D89 B92:N92 B93:B98 D93:D98 B101:N101 B102:B107 D102:D107 B110:N110 B111:B116 D111:D116 B119:N119 B120:B125 D120:D125 B128:N128 B129:B134 D129:D134 B137:N137 B138:B143 D138:D143 B146:N146 B147:B152 D147:D152 B155:N155 B156:B161 D156:D161 B164:N164 B165:B170 D165:D170">
    <cfRule type="expression" dxfId="13" priority="33">
      <formula>$F38="4"</formula>
    </cfRule>
    <cfRule type="expression" dxfId="12" priority="34">
      <formula>$F38="3"</formula>
    </cfRule>
    <cfRule type="expression" dxfId="11" priority="35">
      <formula>$F38="2"</formula>
    </cfRule>
    <cfRule type="expression" dxfId="10" priority="36">
      <formula>$F38="1"</formula>
    </cfRule>
  </conditionalFormatting>
  <conditionalFormatting sqref="B38:N45 B47:N54 B56:N63 B65:N72 B74:N81 B83:N90 B92:N99 B101:N108 B110:N117 B119:N126 B128:N135 B137:N144 B146:N153 B155:N162 B164:N171">
    <cfRule type="expression" dxfId="9" priority="15">
      <formula>$A38=0</formula>
    </cfRule>
  </conditionalFormatting>
  <conditionalFormatting sqref="F38 F47 F56 F65 F74 F83 F92 F101 F110 F119 F128 F137 F146 F155 F163:F164">
    <cfRule type="cellIs" dxfId="8" priority="24" operator="equal">
      <formula>"4"</formula>
    </cfRule>
    <cfRule type="cellIs" dxfId="7" priority="25" operator="equal">
      <formula>"3"</formula>
    </cfRule>
    <cfRule type="cellIs" dxfId="6" priority="26" operator="equal">
      <formula>"2"</formula>
    </cfRule>
    <cfRule type="cellIs" dxfId="5" priority="27" operator="equal">
      <formula>"1"</formula>
    </cfRule>
  </conditionalFormatting>
  <conditionalFormatting sqref="G14 G16 G20 G22 G26 G28 G32 G34">
    <cfRule type="cellIs" dxfId="4" priority="19" operator="equal">
      <formula>0</formula>
    </cfRule>
  </conditionalFormatting>
  <conditionalFormatting sqref="G15 G17 G21 G23 G27 G29 G33">
    <cfRule type="cellIs" dxfId="3" priority="20" operator="equal">
      <formula>0</formula>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iconSet" priority="37" id="{79A59AB2-4B9D-4EDE-BCD0-B56712CFA14F}">
            <x14:iconSet showValue="0" custom="1">
              <x14:cfvo type="percent">
                <xm:f>0</xm:f>
              </x14:cfvo>
              <x14:cfvo type="num">
                <xm:f>tech!$D$21</xm:f>
              </x14:cfvo>
              <x14:cfvo type="num">
                <xm:f>tech!$D$23</xm:f>
              </x14:cfvo>
              <x14:cfIcon iconSet="3TrafficLights1" iconId="0"/>
              <x14:cfIcon iconSet="3TrafficLights1" iconId="2"/>
              <x14:cfIcon iconSet="3TrafficLights1" iconId="1"/>
            </x14:iconSet>
          </x14:cfRule>
          <xm:sqref>F11:F12 J14:N34 H11:H12</xm:sqref>
        </x14:conditionalFormatting>
        <x14:conditionalFormatting xmlns:xm="http://schemas.microsoft.com/office/excel/2006/main">
          <x14:cfRule type="expression" priority="16" stopIfTrue="1" id="{5D8D64D8-0214-41EA-B75F-29836801BF71}">
            <xm:f>Overview!$D$9:$E$9&lt;&gt;""</xm:f>
            <x14:dxf>
              <font>
                <b val="0"/>
                <i val="0"/>
                <color auto="1"/>
              </font>
              <fill>
                <patternFill>
                  <bgColor theme="0" tint="-4.9989318521683403E-2"/>
                </patternFill>
              </fill>
            </x14:dxf>
          </x14:cfRule>
          <x14:cfRule type="expression" priority="17" id="{5061FD4D-765E-4270-BE2F-004137DC3382}">
            <xm:f>TODAY()&gt;Overview!C8</xm:f>
            <x14:dxf>
              <font>
                <b/>
                <i val="0"/>
                <color theme="0"/>
              </font>
              <fill>
                <patternFill>
                  <bgColor rgb="FFC00000"/>
                </patternFill>
              </fill>
            </x14:dxf>
          </x14:cfRule>
          <x14:cfRule type="expression" priority="18" id="{841CB75A-D111-4865-84DC-BB99235EB397}">
            <xm:f>AND(TODAY()&lt;Overview!C8,(Overview!C8-TODAY())&lt;tech!$H$10)</xm:f>
            <x14:dxf>
              <font>
                <b/>
                <i val="0"/>
                <color rgb="FFC00000"/>
              </font>
            </x14:dxf>
          </x14:cfRule>
          <xm:sqref>K4:N4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13ADF7DE-848B-4648-8E2D-CF09C9C51870}">
          <x14:formula1>
            <xm:f>tech!$A$240:$A$244</xm:f>
          </x14:formula1>
          <xm:sqref>H14</xm:sqref>
        </x14:dataValidation>
        <x14:dataValidation type="list" allowBlank="1" showInputMessage="1" showErrorMessage="1" xr:uid="{BA3A82D9-BE32-40BD-861D-99DE8C5F08DA}">
          <x14:formula1>
            <xm:f>tech!$A$246:$A$250</xm:f>
          </x14:formula1>
          <xm:sqref>H15</xm:sqref>
        </x14:dataValidation>
        <x14:dataValidation type="list" allowBlank="1" showInputMessage="1" showErrorMessage="1" xr:uid="{75BB139C-95AF-43D9-8F09-72E5982A6A21}">
          <x14:formula1>
            <xm:f>tech!$A$252:$A$256</xm:f>
          </x14:formula1>
          <xm:sqref>H16</xm:sqref>
        </x14:dataValidation>
        <x14:dataValidation type="list" allowBlank="1" showInputMessage="1" showErrorMessage="1" xr:uid="{1A9C4C2C-6F76-44FF-AF63-3F9772C88529}">
          <x14:formula1>
            <xm:f>tech!$A$258:$A$262</xm:f>
          </x14:formula1>
          <xm:sqref>H17</xm:sqref>
        </x14:dataValidation>
        <x14:dataValidation type="list" allowBlank="1" showInputMessage="1" showErrorMessage="1" xr:uid="{DF7B3D98-3955-4B81-9146-75C19D0CD42F}">
          <x14:formula1>
            <xm:f>tech!$A$264:$A$268</xm:f>
          </x14:formula1>
          <xm:sqref>H20</xm:sqref>
        </x14:dataValidation>
        <x14:dataValidation type="list" allowBlank="1" showInputMessage="1" showErrorMessage="1" xr:uid="{AC934D8E-B376-44BF-AD30-AD1250970B89}">
          <x14:formula1>
            <xm:f>tech!$A$270:$A$274</xm:f>
          </x14:formula1>
          <xm:sqref>H21</xm:sqref>
        </x14:dataValidation>
        <x14:dataValidation type="list" allowBlank="1" showInputMessage="1" showErrorMessage="1" xr:uid="{2C2702C0-1227-418B-92FD-A724C0258591}">
          <x14:formula1>
            <xm:f>tech!$A$276:$A$280</xm:f>
          </x14:formula1>
          <xm:sqref>H22</xm:sqref>
        </x14:dataValidation>
        <x14:dataValidation type="list" allowBlank="1" showInputMessage="1" showErrorMessage="1" xr:uid="{316B00B4-25B3-44F5-97CE-0F4AEF7BCD77}">
          <x14:formula1>
            <xm:f>tech!$A$282:$A$286</xm:f>
          </x14:formula1>
          <xm:sqref>H23</xm:sqref>
        </x14:dataValidation>
        <x14:dataValidation type="list" allowBlank="1" showInputMessage="1" showErrorMessage="1" xr:uid="{C4DDBF73-0D44-452B-8EBF-E6696644EAD4}">
          <x14:formula1>
            <xm:f>tech!$A$288:$A$292</xm:f>
          </x14:formula1>
          <xm:sqref>H26</xm:sqref>
        </x14:dataValidation>
        <x14:dataValidation type="list" allowBlank="1" showInputMessage="1" showErrorMessage="1" xr:uid="{3752991D-6F57-4E98-B2F2-B1832E2BE439}">
          <x14:formula1>
            <xm:f>tech!$A$294:$A$298</xm:f>
          </x14:formula1>
          <xm:sqref>H27</xm:sqref>
        </x14:dataValidation>
        <x14:dataValidation type="list" allowBlank="1" showInputMessage="1" showErrorMessage="1" xr:uid="{3516D90C-B03D-43B2-AE5A-657784988917}">
          <x14:formula1>
            <xm:f>tech!$A$300:$A$304</xm:f>
          </x14:formula1>
          <xm:sqref>H28</xm:sqref>
        </x14:dataValidation>
        <x14:dataValidation type="list" allowBlank="1" showInputMessage="1" showErrorMessage="1" xr:uid="{3B109E59-69F3-414C-AF45-2EC07E701A7A}">
          <x14:formula1>
            <xm:f>tech!$A$306:$A$310</xm:f>
          </x14:formula1>
          <xm:sqref>H29</xm:sqref>
        </x14:dataValidation>
        <x14:dataValidation type="list" allowBlank="1" showInputMessage="1" showErrorMessage="1" xr:uid="{9D84BEDE-6102-487D-A228-42F244CCD6CB}">
          <x14:formula1>
            <xm:f>tech!$A$312:$A$316</xm:f>
          </x14:formula1>
          <xm:sqref>H32</xm:sqref>
        </x14:dataValidation>
        <x14:dataValidation type="list" allowBlank="1" showInputMessage="1" showErrorMessage="1" xr:uid="{DED34E40-38E3-4635-9DFF-F23B9A49EACC}">
          <x14:formula1>
            <xm:f>tech!$A$318:$A$322</xm:f>
          </x14:formula1>
          <xm:sqref>H33</xm:sqref>
        </x14:dataValidation>
        <x14:dataValidation type="list" allowBlank="1" showInputMessage="1" showErrorMessage="1" xr:uid="{27605137-4572-465B-9BD3-FB1370053BF3}">
          <x14:formula1>
            <xm:f>tech!$A$324:$A$328</xm:f>
          </x14:formula1>
          <xm:sqref>H34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BB4B-8137-4DDB-883D-BB4397102E4A}">
  <dimension ref="C3"/>
  <sheetViews>
    <sheetView showGridLines="0" workbookViewId="0"/>
  </sheetViews>
  <sheetFormatPr defaultColWidth="8.85546875" defaultRowHeight="15" x14ac:dyDescent="0.25"/>
  <sheetData>
    <row r="3" spans="3:3" ht="20.25" x14ac:dyDescent="0.3">
      <c r="C3" s="502" t="s">
        <v>1459</v>
      </c>
    </row>
  </sheetData>
  <sheetProtection sheet="1" objects="1" scenarios="1"/>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C21AC-11F9-4458-A1C5-7FC57A2FBC01}">
  <dimension ref="A2:Q84"/>
  <sheetViews>
    <sheetView topLeftCell="A16" workbookViewId="0">
      <selection activeCell="K62" sqref="K62"/>
    </sheetView>
  </sheetViews>
  <sheetFormatPr defaultColWidth="8.85546875" defaultRowHeight="15" x14ac:dyDescent="0.25"/>
  <cols>
    <col min="1" max="1" width="16" bestFit="1" customWidth="1"/>
    <col min="2" max="2" width="34" bestFit="1" customWidth="1"/>
    <col min="3" max="3" width="14.140625" bestFit="1" customWidth="1"/>
    <col min="15" max="15" width="8.85546875" bestFit="1" customWidth="1"/>
    <col min="16" max="16" width="11" customWidth="1"/>
  </cols>
  <sheetData>
    <row r="2" spans="1:5" x14ac:dyDescent="0.25">
      <c r="A2" t="s">
        <v>287</v>
      </c>
      <c r="B2" t="s">
        <v>278</v>
      </c>
      <c r="C2" s="203">
        <f>Overview!D7</f>
        <v>45048</v>
      </c>
    </row>
    <row r="3" spans="1:5" x14ac:dyDescent="0.25">
      <c r="A3" t="s">
        <v>287</v>
      </c>
      <c r="B3" t="s">
        <v>276</v>
      </c>
      <c r="C3" s="203">
        <f>Overview!$D$8</f>
        <v>45103</v>
      </c>
    </row>
    <row r="4" spans="1:5" x14ac:dyDescent="0.25">
      <c r="A4" t="s">
        <v>287</v>
      </c>
      <c r="B4" t="s">
        <v>279</v>
      </c>
      <c r="C4" s="203">
        <v>45092</v>
      </c>
    </row>
    <row r="5" spans="1:5" x14ac:dyDescent="0.25">
      <c r="A5" t="s">
        <v>287</v>
      </c>
      <c r="B5" t="str">
        <f>IF(C3&gt;C4,"Lead of","Delay of")</f>
        <v>Lead of</v>
      </c>
      <c r="C5">
        <f>IF(C3&gt;C4,C3-C4,C4-C3)</f>
        <v>11</v>
      </c>
    </row>
    <row r="6" spans="1:5" x14ac:dyDescent="0.25">
      <c r="A6" t="s">
        <v>206</v>
      </c>
      <c r="B6" t="s">
        <v>288</v>
      </c>
      <c r="C6" t="str">
        <f>Overview!L5</f>
        <v>Internal</v>
      </c>
    </row>
    <row r="7" spans="1:5" x14ac:dyDescent="0.25">
      <c r="A7" t="s">
        <v>206</v>
      </c>
      <c r="B7" t="s">
        <v>208</v>
      </c>
      <c r="C7" t="str">
        <f>Overview!L6</f>
        <v>3Key Company</v>
      </c>
    </row>
    <row r="8" spans="1:5" x14ac:dyDescent="0.25">
      <c r="A8" t="s">
        <v>206</v>
      </c>
      <c r="B8" t="s">
        <v>209</v>
      </c>
      <c r="C8" t="str">
        <f>Overview!L7</f>
        <v>Franta Hrábě</v>
      </c>
    </row>
    <row r="9" spans="1:5" x14ac:dyDescent="0.25">
      <c r="A9" t="s">
        <v>289</v>
      </c>
      <c r="B9" t="s">
        <v>209</v>
      </c>
    </row>
    <row r="10" spans="1:5" x14ac:dyDescent="0.25">
      <c r="A10" t="s">
        <v>289</v>
      </c>
      <c r="B10" t="s">
        <v>290</v>
      </c>
    </row>
    <row r="11" spans="1:5" x14ac:dyDescent="0.25">
      <c r="A11" t="s">
        <v>3</v>
      </c>
      <c r="B11" t="s">
        <v>292</v>
      </c>
      <c r="C11">
        <f>COUNTIF(tech!C29:C114,1)</f>
        <v>72</v>
      </c>
      <c r="D11">
        <f>SUM(Evaluation!H10:M11)</f>
        <v>72</v>
      </c>
    </row>
    <row r="12" spans="1:5" x14ac:dyDescent="0.25">
      <c r="A12" t="s">
        <v>3</v>
      </c>
      <c r="B12" t="s">
        <v>293</v>
      </c>
      <c r="C12">
        <f>COUNTIF(tech!C29:C114,0)</f>
        <v>0</v>
      </c>
      <c r="D12" t="str">
        <f>Evaluation!G10</f>
        <v/>
      </c>
    </row>
    <row r="13" spans="1:5" x14ac:dyDescent="0.25">
      <c r="A13" t="s">
        <v>3</v>
      </c>
      <c r="B13" t="s">
        <v>140</v>
      </c>
      <c r="C13">
        <f>SUM(C11:C12)</f>
        <v>72</v>
      </c>
      <c r="D13">
        <f>SUM(D11:D12)</f>
        <v>72</v>
      </c>
      <c r="E13">
        <f>C13-D13</f>
        <v>0</v>
      </c>
    </row>
    <row r="14" spans="1:5" x14ac:dyDescent="0.25">
      <c r="A14" t="s">
        <v>302</v>
      </c>
      <c r="B14" t="s">
        <v>42</v>
      </c>
    </row>
    <row r="15" spans="1:5" x14ac:dyDescent="0.25">
      <c r="A15" t="s">
        <v>302</v>
      </c>
      <c r="B15" t="s">
        <v>310</v>
      </c>
    </row>
    <row r="16" spans="1:5" x14ac:dyDescent="0.25">
      <c r="A16" t="s">
        <v>302</v>
      </c>
      <c r="B16" t="s">
        <v>311</v>
      </c>
    </row>
    <row r="17" spans="1:16" x14ac:dyDescent="0.25">
      <c r="A17" t="s">
        <v>314</v>
      </c>
      <c r="B17" t="s">
        <v>312</v>
      </c>
    </row>
    <row r="18" spans="1:16" x14ac:dyDescent="0.25">
      <c r="A18" t="s">
        <v>314</v>
      </c>
      <c r="B18" t="s">
        <v>313</v>
      </c>
    </row>
    <row r="19" spans="1:16" x14ac:dyDescent="0.25">
      <c r="A19" t="s">
        <v>294</v>
      </c>
      <c r="B19" t="s">
        <v>295</v>
      </c>
      <c r="C19" t="str">
        <f>Evaluation!F10</f>
        <v>Basic</v>
      </c>
    </row>
    <row r="20" spans="1:16" x14ac:dyDescent="0.25">
      <c r="A20" t="s">
        <v>294</v>
      </c>
      <c r="B20" t="s">
        <v>42</v>
      </c>
    </row>
    <row r="21" spans="1:16" x14ac:dyDescent="0.25">
      <c r="A21" t="s">
        <v>296</v>
      </c>
      <c r="B21" t="s">
        <v>0</v>
      </c>
      <c r="C21" t="s">
        <v>335</v>
      </c>
      <c r="O21" t="s">
        <v>0</v>
      </c>
      <c r="P21" t="s">
        <v>335</v>
      </c>
    </row>
    <row r="22" spans="1:16" x14ac:dyDescent="0.25">
      <c r="A22" t="s">
        <v>296</v>
      </c>
      <c r="B22" t="str">
        <f>IF(Scoping!F10=tech!A5,"",Assessment!$C$12)</f>
        <v>1.1. Strategy and vision</v>
      </c>
      <c r="C22">
        <f>Assessment!N13</f>
        <v>1</v>
      </c>
      <c r="D22">
        <f>Assessment!$N$9</f>
        <v>2</v>
      </c>
      <c r="O22" t="str" cm="1">
        <f t="array" ref="O22:P36">_xlfn._xlws.FILTER(B22:C36,B22:B36&lt;&gt;"","")</f>
        <v>1.1. Strategy and vision</v>
      </c>
      <c r="P22">
        <v>1</v>
      </c>
    </row>
    <row r="23" spans="1:16" x14ac:dyDescent="0.25">
      <c r="A23" t="s">
        <v>296</v>
      </c>
      <c r="B23" t="str">
        <f>IF(Scoping!F16=tech!A5,"",Assessment!C23)</f>
        <v>1.2. Policies and documentation</v>
      </c>
      <c r="C23">
        <f>Assessment!N24</f>
        <v>2</v>
      </c>
      <c r="D23">
        <f>Assessment!$N$9</f>
        <v>2</v>
      </c>
      <c r="O23" t="str">
        <v>1.2. Policies and documentation</v>
      </c>
      <c r="P23">
        <v>2</v>
      </c>
    </row>
    <row r="24" spans="1:16" x14ac:dyDescent="0.25">
      <c r="A24" t="s">
        <v>296</v>
      </c>
      <c r="B24" t="str">
        <f>IF(Scoping!F22=tech!A5,"",Assessment!C34)</f>
        <v>1.3. Compliance</v>
      </c>
      <c r="C24">
        <f>Assessment!N35</f>
        <v>2</v>
      </c>
      <c r="D24">
        <f>Assessment!$N$9</f>
        <v>2</v>
      </c>
      <c r="O24" t="str">
        <v>1.3. Compliance</v>
      </c>
      <c r="P24">
        <v>2</v>
      </c>
    </row>
    <row r="25" spans="1:16" x14ac:dyDescent="0.25">
      <c r="A25" t="s">
        <v>296</v>
      </c>
      <c r="B25" t="str">
        <f>IF(Scoping!F28=tech!A5,"",Assessment!C45)</f>
        <v>1.4. Processes and procedures</v>
      </c>
      <c r="C25">
        <f>Assessment!N46</f>
        <v>3</v>
      </c>
      <c r="D25">
        <f>Assessment!$N$9</f>
        <v>2</v>
      </c>
      <c r="O25" t="str">
        <v>1.4. Processes and procedures</v>
      </c>
      <c r="P25">
        <v>3</v>
      </c>
    </row>
    <row r="26" spans="1:16" x14ac:dyDescent="0.25">
      <c r="A26" t="s">
        <v>296</v>
      </c>
      <c r="B26" t="str">
        <f>IF(Scoping!F34=tech!A5,"",Assessment!C61)</f>
        <v>2.1. Key Management</v>
      </c>
      <c r="C26">
        <f>Assessment!N62</f>
        <v>3</v>
      </c>
      <c r="D26">
        <f>Assessment!$N$58</f>
        <v>2</v>
      </c>
      <c r="O26" t="str">
        <v>2.1. Key Management</v>
      </c>
      <c r="P26">
        <v>3</v>
      </c>
    </row>
    <row r="27" spans="1:16" x14ac:dyDescent="0.25">
      <c r="A27" t="s">
        <v>296</v>
      </c>
      <c r="B27" t="str">
        <f>IF(Scoping!F40=tech!A5,"",Assessment!C72)</f>
        <v>2.2. Certificate Management</v>
      </c>
      <c r="C27">
        <f>Assessment!N73</f>
        <v>2</v>
      </c>
      <c r="D27">
        <f>Assessment!$N$58</f>
        <v>2</v>
      </c>
      <c r="O27" t="str">
        <v>2.2. Certificate Management</v>
      </c>
      <c r="P27">
        <v>2</v>
      </c>
    </row>
    <row r="28" spans="1:16" x14ac:dyDescent="0.25">
      <c r="A28" t="s">
        <v>296</v>
      </c>
      <c r="B28" t="str">
        <f>IF(Scoping!F47=tech!A5,"",Assessment!C84)</f>
        <v>2.3. Infrastructure Management</v>
      </c>
      <c r="C28">
        <f>Assessment!N85</f>
        <v>3</v>
      </c>
      <c r="D28">
        <f>Assessment!$N$58</f>
        <v>2</v>
      </c>
      <c r="O28" t="str">
        <v>2.3. Infrastructure Management</v>
      </c>
      <c r="P28">
        <v>3</v>
      </c>
    </row>
    <row r="29" spans="1:16" x14ac:dyDescent="0.25">
      <c r="A29" t="s">
        <v>296</v>
      </c>
      <c r="B29" t="str">
        <f>IF(Scoping!F53=tech!A5,"",Assessment!C95)</f>
        <v>2.4. Change Management and Agility</v>
      </c>
      <c r="C29">
        <f>Assessment!N96</f>
        <v>2</v>
      </c>
      <c r="D29">
        <f>Assessment!$N$58</f>
        <v>2</v>
      </c>
      <c r="O29" t="str">
        <v>2.4. Change Management and Agility</v>
      </c>
      <c r="P29">
        <v>2</v>
      </c>
    </row>
    <row r="30" spans="1:16" x14ac:dyDescent="0.25">
      <c r="A30" t="s">
        <v>296</v>
      </c>
      <c r="B30" t="str">
        <f>IF(Scoping!F59=tech!A5,"",Assessment!C111)</f>
        <v>3.1. Resilience</v>
      </c>
      <c r="C30">
        <f>Assessment!N112</f>
        <v>3</v>
      </c>
      <c r="D30">
        <f>Assessment!$N$108</f>
        <v>3</v>
      </c>
      <c r="O30" t="str">
        <v>3.1. Resilience</v>
      </c>
      <c r="P30">
        <v>3</v>
      </c>
    </row>
    <row r="31" spans="1:16" x14ac:dyDescent="0.25">
      <c r="A31" t="s">
        <v>296</v>
      </c>
      <c r="B31" t="str">
        <f>IF(Scoping!F65=tech!A5,"",Assessment!C122)</f>
        <v>3.2. Interoperability</v>
      </c>
      <c r="C31">
        <f>Assessment!N123</f>
        <v>3</v>
      </c>
      <c r="D31">
        <f>Assessment!$N$108</f>
        <v>3</v>
      </c>
      <c r="O31" t="str">
        <v>3.2. Interoperability</v>
      </c>
      <c r="P31">
        <v>3</v>
      </c>
    </row>
    <row r="32" spans="1:16" x14ac:dyDescent="0.25">
      <c r="A32" t="s">
        <v>296</v>
      </c>
      <c r="B32" t="str">
        <f>IF(Scoping!F71=tech!A5,"",Assessment!C133)</f>
        <v>3.3. Monitoring and Auditing</v>
      </c>
      <c r="C32">
        <f>Assessment!N134</f>
        <v>3</v>
      </c>
      <c r="D32">
        <f>Assessment!$N$108</f>
        <v>3</v>
      </c>
      <c r="O32" t="str">
        <v>3.3. Monitoring and Auditing</v>
      </c>
      <c r="P32">
        <v>3</v>
      </c>
    </row>
    <row r="33" spans="1:17" x14ac:dyDescent="0.25">
      <c r="A33" t="s">
        <v>296</v>
      </c>
      <c r="B33" t="str">
        <f>IF(Scoping!F77=tech!A5,"",Assessment!C144)</f>
        <v>3.4. Automation</v>
      </c>
      <c r="C33">
        <f>Assessment!N145</f>
        <v>2</v>
      </c>
      <c r="D33">
        <f>Assessment!$N$108</f>
        <v>3</v>
      </c>
      <c r="O33" t="str">
        <v>3.4. Automation</v>
      </c>
      <c r="P33">
        <v>2</v>
      </c>
    </row>
    <row r="34" spans="1:17" ht="15" customHeight="1" x14ac:dyDescent="0.25">
      <c r="A34" t="s">
        <v>296</v>
      </c>
      <c r="B34" t="str">
        <f>IF(Scoping!F83=tech!A5,"",Assessment!C160)</f>
        <v>4.1. Sourcing</v>
      </c>
      <c r="C34">
        <f>Assessment!N161</f>
        <v>3</v>
      </c>
      <c r="D34">
        <f>Assessment!$N$157</f>
        <v>3</v>
      </c>
      <c r="O34" t="str">
        <v>4.1. Sourcing</v>
      </c>
      <c r="P34">
        <v>3</v>
      </c>
    </row>
    <row r="35" spans="1:17" x14ac:dyDescent="0.25">
      <c r="A35" t="s">
        <v>296</v>
      </c>
      <c r="B35" t="str">
        <f>IF(Scoping!F87=tech!A5,"",Assessment!C169)</f>
        <v>4.2. Knowledge and Training</v>
      </c>
      <c r="C35">
        <f>IF(B35="","",Assessment!N170)</f>
        <v>4</v>
      </c>
      <c r="D35">
        <f>Assessment!$N$157</f>
        <v>3</v>
      </c>
      <c r="O35" t="str">
        <v>4.2. Knowledge and Training</v>
      </c>
      <c r="P35">
        <v>4</v>
      </c>
    </row>
    <row r="36" spans="1:17" ht="15" customHeight="1" x14ac:dyDescent="0.25">
      <c r="A36" t="s">
        <v>296</v>
      </c>
      <c r="B36" t="str">
        <f>IF(Scoping!F92=tech!A5,"",Assessment!C179)</f>
        <v>4.3. Awareness</v>
      </c>
      <c r="C36">
        <f>Assessment!N180</f>
        <v>3</v>
      </c>
      <c r="D36">
        <f>Assessment!$N$157</f>
        <v>3</v>
      </c>
      <c r="O36" t="str">
        <v>4.3. Awareness</v>
      </c>
      <c r="P36">
        <v>3</v>
      </c>
    </row>
    <row r="37" spans="1:17" ht="15" customHeight="1" x14ac:dyDescent="0.25">
      <c r="A37" t="s">
        <v>296</v>
      </c>
    </row>
    <row r="38" spans="1:17" ht="15" customHeight="1" x14ac:dyDescent="0.25">
      <c r="A38" t="s">
        <v>296</v>
      </c>
    </row>
    <row r="39" spans="1:17" x14ac:dyDescent="0.25">
      <c r="A39" t="s">
        <v>296</v>
      </c>
    </row>
    <row r="40" spans="1:17" x14ac:dyDescent="0.25">
      <c r="A40" t="s">
        <v>296</v>
      </c>
    </row>
    <row r="43" spans="1:17" x14ac:dyDescent="0.25">
      <c r="B43" t="s">
        <v>0</v>
      </c>
      <c r="C43" t="s">
        <v>336</v>
      </c>
      <c r="O43" t="s">
        <v>0</v>
      </c>
      <c r="P43" t="s">
        <v>335</v>
      </c>
      <c r="Q43" t="s">
        <v>336</v>
      </c>
    </row>
    <row r="44" spans="1:17" x14ac:dyDescent="0.25">
      <c r="B44" t="str">
        <f>Assessment!C8</f>
        <v>1. Governance</v>
      </c>
      <c r="C44">
        <f>Assessment!N9</f>
        <v>2</v>
      </c>
      <c r="O44" t="str" cm="1">
        <f t="array" ref="O44:Q58">_xlfn._xlws.FILTER(B22:D36,B22:B36&lt;&gt;"","")</f>
        <v>1.1. Strategy and vision</v>
      </c>
      <c r="P44">
        <v>1</v>
      </c>
      <c r="Q44">
        <v>2</v>
      </c>
    </row>
    <row r="45" spans="1:17" x14ac:dyDescent="0.25">
      <c r="B45" t="str">
        <f>Assessment!C57</f>
        <v>2. Management</v>
      </c>
      <c r="C45">
        <f>Assessment!N58</f>
        <v>2</v>
      </c>
      <c r="O45" t="str">
        <v>1.2. Policies and documentation</v>
      </c>
      <c r="P45">
        <v>2</v>
      </c>
      <c r="Q45">
        <v>2</v>
      </c>
    </row>
    <row r="46" spans="1:17" x14ac:dyDescent="0.25">
      <c r="B46" t="str">
        <f>Assessment!C107</f>
        <v>3. Operations</v>
      </c>
      <c r="C46">
        <f>Assessment!N108</f>
        <v>3</v>
      </c>
      <c r="O46" t="str">
        <v>1.3. Compliance</v>
      </c>
      <c r="P46">
        <v>2</v>
      </c>
      <c r="Q46">
        <v>2</v>
      </c>
    </row>
    <row r="47" spans="1:17" x14ac:dyDescent="0.25">
      <c r="B47" t="str">
        <f>Assessment!C156</f>
        <v>4. Resources</v>
      </c>
      <c r="C47">
        <f>Assessment!N157</f>
        <v>3</v>
      </c>
      <c r="O47" t="str">
        <v>1.4. Processes and procedures</v>
      </c>
      <c r="P47">
        <v>3</v>
      </c>
      <c r="Q47">
        <v>2</v>
      </c>
    </row>
    <row r="48" spans="1:17" x14ac:dyDescent="0.25">
      <c r="O48" t="str">
        <v>2.1. Key Management</v>
      </c>
      <c r="P48">
        <v>3</v>
      </c>
      <c r="Q48">
        <v>2</v>
      </c>
    </row>
    <row r="49" spans="15:17" x14ac:dyDescent="0.25">
      <c r="O49" t="str">
        <v>2.2. Certificate Management</v>
      </c>
      <c r="P49">
        <v>2</v>
      </c>
      <c r="Q49">
        <v>2</v>
      </c>
    </row>
    <row r="50" spans="15:17" x14ac:dyDescent="0.25">
      <c r="O50" t="str">
        <v>2.3. Infrastructure Management</v>
      </c>
      <c r="P50">
        <v>3</v>
      </c>
      <c r="Q50">
        <v>2</v>
      </c>
    </row>
    <row r="51" spans="15:17" x14ac:dyDescent="0.25">
      <c r="O51" t="str">
        <v>2.4. Change Management and Agility</v>
      </c>
      <c r="P51">
        <v>2</v>
      </c>
      <c r="Q51">
        <v>2</v>
      </c>
    </row>
    <row r="52" spans="15:17" x14ac:dyDescent="0.25">
      <c r="O52" t="str">
        <v>3.1. Resilience</v>
      </c>
      <c r="P52">
        <v>3</v>
      </c>
      <c r="Q52">
        <v>3</v>
      </c>
    </row>
    <row r="53" spans="15:17" x14ac:dyDescent="0.25">
      <c r="O53" t="str">
        <v>3.2. Interoperability</v>
      </c>
      <c r="P53">
        <v>3</v>
      </c>
      <c r="Q53">
        <v>3</v>
      </c>
    </row>
    <row r="54" spans="15:17" x14ac:dyDescent="0.25">
      <c r="O54" t="str">
        <v>3.3. Monitoring and Auditing</v>
      </c>
      <c r="P54">
        <v>3</v>
      </c>
      <c r="Q54">
        <v>3</v>
      </c>
    </row>
    <row r="55" spans="15:17" x14ac:dyDescent="0.25">
      <c r="O55" t="str">
        <v>3.4. Automation</v>
      </c>
      <c r="P55">
        <v>2</v>
      </c>
      <c r="Q55">
        <v>3</v>
      </c>
    </row>
    <row r="56" spans="15:17" x14ac:dyDescent="0.25">
      <c r="O56" t="str">
        <v>4.1. Sourcing</v>
      </c>
      <c r="P56">
        <v>3</v>
      </c>
      <c r="Q56">
        <v>3</v>
      </c>
    </row>
    <row r="57" spans="15:17" x14ac:dyDescent="0.25">
      <c r="O57" t="str">
        <v>4.2. Knowledge and Training</v>
      </c>
      <c r="P57">
        <v>4</v>
      </c>
      <c r="Q57">
        <v>3</v>
      </c>
    </row>
    <row r="58" spans="15:17" x14ac:dyDescent="0.25">
      <c r="O58" t="str">
        <v>4.3. Awareness</v>
      </c>
      <c r="P58">
        <v>3</v>
      </c>
      <c r="Q58">
        <v>3</v>
      </c>
    </row>
    <row r="69" spans="2:4" x14ac:dyDescent="0.25">
      <c r="B69" t="s">
        <v>0</v>
      </c>
      <c r="C69" t="s">
        <v>335</v>
      </c>
      <c r="D69" t="s">
        <v>336</v>
      </c>
    </row>
    <row r="70" spans="2:4" x14ac:dyDescent="0.25">
      <c r="B70" t="s">
        <v>18</v>
      </c>
      <c r="C70">
        <v>2</v>
      </c>
      <c r="D70">
        <v>2</v>
      </c>
    </row>
    <row r="71" spans="2:4" x14ac:dyDescent="0.25">
      <c r="B71" t="s">
        <v>19</v>
      </c>
      <c r="C71">
        <v>2</v>
      </c>
      <c r="D71">
        <v>2</v>
      </c>
    </row>
    <row r="72" spans="2:4" x14ac:dyDescent="0.25">
      <c r="B72" t="s">
        <v>20</v>
      </c>
      <c r="C72">
        <v>2</v>
      </c>
      <c r="D72">
        <v>2</v>
      </c>
    </row>
    <row r="73" spans="2:4" x14ac:dyDescent="0.25">
      <c r="B73" t="s">
        <v>21</v>
      </c>
      <c r="C73">
        <v>3</v>
      </c>
      <c r="D73">
        <v>2</v>
      </c>
    </row>
    <row r="74" spans="2:4" x14ac:dyDescent="0.25">
      <c r="B74" t="s">
        <v>31</v>
      </c>
      <c r="C74">
        <v>2</v>
      </c>
      <c r="D74">
        <v>2</v>
      </c>
    </row>
    <row r="75" spans="2:4" x14ac:dyDescent="0.25">
      <c r="B75" t="s">
        <v>32</v>
      </c>
      <c r="C75">
        <v>2</v>
      </c>
      <c r="D75">
        <v>2</v>
      </c>
    </row>
    <row r="76" spans="2:4" x14ac:dyDescent="0.25">
      <c r="B76" t="s">
        <v>33</v>
      </c>
      <c r="C76">
        <v>3</v>
      </c>
      <c r="D76">
        <v>2</v>
      </c>
    </row>
    <row r="77" spans="2:4" x14ac:dyDescent="0.25">
      <c r="B77" t="s">
        <v>34</v>
      </c>
      <c r="C77">
        <v>2</v>
      </c>
      <c r="D77">
        <v>2</v>
      </c>
    </row>
    <row r="78" spans="2:4" x14ac:dyDescent="0.25">
      <c r="B78" t="s">
        <v>35</v>
      </c>
      <c r="C78">
        <v>3</v>
      </c>
      <c r="D78">
        <v>3</v>
      </c>
    </row>
    <row r="79" spans="2:4" x14ac:dyDescent="0.25">
      <c r="B79" t="s">
        <v>36</v>
      </c>
      <c r="C79">
        <v>3</v>
      </c>
      <c r="D79">
        <v>3</v>
      </c>
    </row>
    <row r="80" spans="2:4" x14ac:dyDescent="0.25">
      <c r="B80" t="s">
        <v>37</v>
      </c>
      <c r="C80">
        <v>3</v>
      </c>
      <c r="D80">
        <v>3</v>
      </c>
    </row>
    <row r="81" spans="2:4" x14ac:dyDescent="0.25">
      <c r="B81" t="s">
        <v>38</v>
      </c>
      <c r="C81">
        <v>2</v>
      </c>
      <c r="D81">
        <v>3</v>
      </c>
    </row>
    <row r="82" spans="2:4" x14ac:dyDescent="0.25">
      <c r="B82" t="s">
        <v>39</v>
      </c>
      <c r="C82">
        <v>5</v>
      </c>
      <c r="D82">
        <v>4</v>
      </c>
    </row>
    <row r="83" spans="2:4" x14ac:dyDescent="0.25">
      <c r="B83" t="s">
        <v>40</v>
      </c>
      <c r="C83">
        <v>4</v>
      </c>
      <c r="D83">
        <v>4</v>
      </c>
    </row>
    <row r="84" spans="2:4" x14ac:dyDescent="0.25">
      <c r="B84" t="s">
        <v>41</v>
      </c>
      <c r="C84">
        <v>3</v>
      </c>
      <c r="D84">
        <v>4</v>
      </c>
    </row>
  </sheetData>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0A7E-2ABD-4D82-A2DA-E3EADC02B579}">
  <dimension ref="A2:K325"/>
  <sheetViews>
    <sheetView workbookViewId="0"/>
  </sheetViews>
  <sheetFormatPr defaultColWidth="8.85546875" defaultRowHeight="15" x14ac:dyDescent="0.25"/>
  <cols>
    <col min="1" max="1" width="14.28515625" bestFit="1" customWidth="1"/>
    <col min="2" max="2" width="13.7109375" bestFit="1" customWidth="1"/>
    <col min="3" max="3" width="18.42578125" bestFit="1" customWidth="1"/>
    <col min="5" max="5" width="33.85546875" customWidth="1"/>
    <col min="6" max="6" width="58.42578125" customWidth="1"/>
    <col min="7" max="7" width="52.42578125" customWidth="1"/>
    <col min="8" max="8" width="49.140625" customWidth="1"/>
    <col min="11" max="11" width="10.28515625" bestFit="1" customWidth="1"/>
    <col min="14" max="14" width="36.28515625" bestFit="1" customWidth="1"/>
  </cols>
  <sheetData>
    <row r="2" spans="1:11" x14ac:dyDescent="0.25">
      <c r="F2" t="s">
        <v>334</v>
      </c>
      <c r="G2" t="s">
        <v>339</v>
      </c>
      <c r="H2" t="s">
        <v>340</v>
      </c>
    </row>
    <row r="3" spans="1:11" x14ac:dyDescent="0.25">
      <c r="A3" s="1" t="s">
        <v>3</v>
      </c>
      <c r="D3" s="1" t="s">
        <v>10</v>
      </c>
      <c r="E3" s="1" t="s">
        <v>141</v>
      </c>
      <c r="F3" s="1" t="s">
        <v>142</v>
      </c>
      <c r="G3" s="1" t="s">
        <v>143</v>
      </c>
      <c r="H3" s="1" t="s">
        <v>42</v>
      </c>
    </row>
    <row r="4" spans="1:11" ht="105" x14ac:dyDescent="0.25">
      <c r="A4" t="s">
        <v>4</v>
      </c>
      <c r="D4" s="2">
        <v>1</v>
      </c>
      <c r="E4" s="2" t="s">
        <v>47</v>
      </c>
      <c r="F4" s="238" t="str" cm="1">
        <f t="array" ref="F4">_xlfn.TEXTJOIN(CHAR(10),,_xlfn._xlws.FILTER(source!G15:G161,source!F15:F161="1IY",""))</f>
        <v>• PKI is ad-hoc managed, reactive
• There are minimum processes and procedures, which are typically not followed and
• There is no approach how to address certificate related issues
• PKI does not take into account any industry standards or regulations
• Insufficient resources and knowledge</v>
      </c>
      <c r="G4" s="238" t="str" cm="1">
        <f t="array" ref="G4">_xlfn.TEXTJOIN(CHAR(10),,_xlfn._xlws.FILTER(source!G15:G161,source!F15:F161="1AY",""))</f>
        <v>• High probability of compromise
• High probability of operational issues
• no trust</v>
      </c>
      <c r="H4" s="238" t="str" cm="1">
        <f t="array" ref="H4">INDEX(source!$G$4:$G$13,tech!D4)</f>
        <v>Unpredictable process with poor control and always reactive</v>
      </c>
      <c r="J4" s="238"/>
      <c r="K4" t="str">
        <f>E4</f>
        <v>Initial</v>
      </c>
    </row>
    <row r="5" spans="1:11" ht="90" x14ac:dyDescent="0.25">
      <c r="A5" t="s">
        <v>5</v>
      </c>
      <c r="D5" s="2">
        <v>2</v>
      </c>
      <c r="E5" s="2" t="s">
        <v>48</v>
      </c>
      <c r="F5" s="238" t="str" cm="1">
        <f t="array" ref="F5">_xlfn.TEXTJOIN(CHAR(10),,_xlfn._xlws.FILTER(source!G15:G161,source!F15:F161="2IY",""))</f>
        <v>• PKI is ad-hoc managed, often reactive
• There are defined processes and procedures which are followed
• PKI is not managed according to industry standards and regulations
• Insufficient knowledge</v>
      </c>
      <c r="G5" s="238" t="str" cm="1">
        <f t="array" ref="G5">_xlfn.TEXTJOIN(CHAR(10),,_xlfn._xlws.FILTER(source!G15:G161,source!F15:F161="2AY",""))</f>
        <v>• High probability of operational issues
• Medium probability of compromise
• no trust</v>
      </c>
      <c r="H5" s="238" t="str" cm="1">
        <f t="array" ref="H5">INDEX(source!$G$4:$G$13,tech!D5)</f>
        <v>Process is characterized by each particular case or project and controls are often reactive</v>
      </c>
      <c r="K5" t="str">
        <f t="shared" ref="K5:K8" si="0">E5</f>
        <v>Basic</v>
      </c>
    </row>
    <row r="6" spans="1:11" ht="60" x14ac:dyDescent="0.25">
      <c r="D6" s="2">
        <v>3</v>
      </c>
      <c r="E6" s="2" t="s">
        <v>49</v>
      </c>
      <c r="F6" s="238" t="str" cm="1">
        <f t="array" ref="F6">_xlfn.TEXTJOIN(CHAR(10),,_xlfn._xlws.FILTER(source!G15:G161,source!F15:F161="3IY",""))</f>
        <v>• certificate services are not consistently managed
• procedures are defined and followed
• CP and CPS partially exist but not followed
• partially available resources and knowledge</v>
      </c>
      <c r="G6" s="238" t="str" cm="1">
        <f t="array" ref="G6">_xlfn.TEXTJOIN(CHAR(10),,_xlfn._xlws.FILTER(source!G15:G161,source!F15:F161="3AY",""))</f>
        <v>• Medium probability of operational issues
• Low probability of compromise</v>
      </c>
      <c r="H6" s="238" t="str" cm="1">
        <f t="array" ref="H6">INDEX(source!$G$4:$G$13,tech!D6)</f>
        <v>Process is characterized by organizational standards and controls are proactive</v>
      </c>
      <c r="K6" t="str">
        <f t="shared" si="0"/>
        <v>Advanced</v>
      </c>
    </row>
    <row r="7" spans="1:11" ht="90" x14ac:dyDescent="0.25">
      <c r="A7" s="1" t="s">
        <v>44</v>
      </c>
      <c r="D7" s="2">
        <v>4</v>
      </c>
      <c r="E7" s="2" t="s">
        <v>50</v>
      </c>
      <c r="F7" s="238" t="str" cm="1">
        <f t="array" ref="F7">_xlfn.TEXTJOIN(CHAR(10),,_xlfn._xlws.FILTER(source!G15:G161,source!F15:F161="4IY",""))</f>
        <v>• PKI is consistently managed
• Well defined CP and CPS for provided services
• available skilled resources
• Documented processes and procedures to manage certificates and related keys
• Inconsistent approach to certificate related activities</v>
      </c>
      <c r="G7" s="238" t="str" cm="1">
        <f t="array" ref="G7">_xlfn.TEXTJOIN(CHAR(10),,_xlfn._xlws.FILTER(source!G15:G161,source!F15:F161="4AY",""))</f>
        <v>• Low probability of operational issues
• Low probability of compromise and loosing trust</v>
      </c>
      <c r="H7" s="238" t="str" cm="1">
        <f t="array" ref="H7">INDEX(source!$G$4:$G$13,tech!D7)</f>
        <v>Processes are measured and controlled, proactive approach</v>
      </c>
      <c r="K7" t="str">
        <f t="shared" si="0"/>
        <v>Managed</v>
      </c>
    </row>
    <row r="8" spans="1:11" ht="105" x14ac:dyDescent="0.25">
      <c r="A8" t="s">
        <v>45</v>
      </c>
      <c r="D8" s="2">
        <v>5</v>
      </c>
      <c r="E8" s="2" t="s">
        <v>51</v>
      </c>
      <c r="F8" s="238" t="str" cm="1">
        <f t="array" ref="F8">_xlfn.TEXTJOIN(CHAR(10),,_xlfn._xlws.FILTER(source!G15:G161,source!F15:F161="5IY",""))</f>
        <v>• Well-defined CP and CPS
• Effective procedures for certificate management exist and are followed
• resources with knowledge and experience available
• Consistent PKI with alignment to current practice and regulation
• Future proof</v>
      </c>
      <c r="G8" s="238" t="str" cm="1">
        <f t="array" ref="G8">_xlfn.TEXTJOIN(CHAR(10),,_xlfn._xlws.FILTER(source!G15:G161,source!F15:F161="5AY",""))</f>
        <v>• Minimal probability of operational issues
• Minimal probability of compromise and loosing trust</v>
      </c>
      <c r="H8" s="238" t="str" cm="1">
        <f t="array" ref="H8">INDEX(source!$G$4:$G$13,tech!D8)</f>
        <v>Continuous improvement of the processes and procedures, proactive approach for future technology improvement</v>
      </c>
      <c r="K8" t="str">
        <f t="shared" si="0"/>
        <v>Optimized</v>
      </c>
    </row>
    <row r="9" spans="1:11" x14ac:dyDescent="0.25">
      <c r="A9" t="s">
        <v>46</v>
      </c>
      <c r="B9" t="s">
        <v>55</v>
      </c>
    </row>
    <row r="10" spans="1:11" x14ac:dyDescent="0.25">
      <c r="A10" t="s">
        <v>149</v>
      </c>
      <c r="G10" s="83" t="s">
        <v>277</v>
      </c>
      <c r="H10">
        <v>30</v>
      </c>
    </row>
    <row r="12" spans="1:11" x14ac:dyDescent="0.25">
      <c r="A12" s="1" t="s">
        <v>52</v>
      </c>
    </row>
    <row r="13" spans="1:11" x14ac:dyDescent="0.25">
      <c r="A13" t="s">
        <v>47</v>
      </c>
      <c r="B13">
        <v>1</v>
      </c>
    </row>
    <row r="14" spans="1:11" x14ac:dyDescent="0.25">
      <c r="A14" t="s">
        <v>48</v>
      </c>
      <c r="B14">
        <v>2</v>
      </c>
    </row>
    <row r="15" spans="1:11" x14ac:dyDescent="0.25">
      <c r="A15" t="s">
        <v>49</v>
      </c>
      <c r="B15">
        <v>3</v>
      </c>
    </row>
    <row r="16" spans="1:11" x14ac:dyDescent="0.25">
      <c r="A16" t="s">
        <v>50</v>
      </c>
      <c r="B16">
        <v>4</v>
      </c>
    </row>
    <row r="17" spans="1:4" x14ac:dyDescent="0.25">
      <c r="A17" t="s">
        <v>51</v>
      </c>
      <c r="B17">
        <v>5</v>
      </c>
    </row>
    <row r="18" spans="1:4" x14ac:dyDescent="0.25">
      <c r="A18" t="s">
        <v>55</v>
      </c>
      <c r="B18">
        <v>0</v>
      </c>
    </row>
    <row r="20" spans="1:4" x14ac:dyDescent="0.25">
      <c r="A20" s="1" t="s">
        <v>53</v>
      </c>
    </row>
    <row r="21" spans="1:4" x14ac:dyDescent="0.25">
      <c r="A21" s="1">
        <v>0</v>
      </c>
      <c r="B21" t="s">
        <v>54</v>
      </c>
      <c r="D21">
        <v>0</v>
      </c>
    </row>
    <row r="22" spans="1:4" x14ac:dyDescent="0.25">
      <c r="A22">
        <v>1</v>
      </c>
      <c r="B22" t="s">
        <v>47</v>
      </c>
      <c r="D22">
        <v>1</v>
      </c>
    </row>
    <row r="23" spans="1:4" x14ac:dyDescent="0.25">
      <c r="A23">
        <v>2</v>
      </c>
      <c r="B23" t="s">
        <v>48</v>
      </c>
      <c r="D23">
        <v>2</v>
      </c>
    </row>
    <row r="24" spans="1:4" x14ac:dyDescent="0.25">
      <c r="A24">
        <v>3</v>
      </c>
      <c r="B24" t="s">
        <v>49</v>
      </c>
    </row>
    <row r="25" spans="1:4" x14ac:dyDescent="0.25">
      <c r="A25">
        <v>4</v>
      </c>
      <c r="B25" t="s">
        <v>50</v>
      </c>
    </row>
    <row r="26" spans="1:4" x14ac:dyDescent="0.25">
      <c r="A26">
        <v>5</v>
      </c>
      <c r="B26" t="s">
        <v>51</v>
      </c>
    </row>
    <row r="28" spans="1:4" x14ac:dyDescent="0.25">
      <c r="A28" s="1" t="s">
        <v>291</v>
      </c>
      <c r="B28" s="1" t="s">
        <v>1</v>
      </c>
      <c r="C28" s="1" t="s">
        <v>44</v>
      </c>
      <c r="D28" s="1" t="s">
        <v>331</v>
      </c>
    </row>
    <row r="29" spans="1:4" x14ac:dyDescent="0.25">
      <c r="A29" t="s">
        <v>22</v>
      </c>
      <c r="B29" s="493" t="str">
        <f>IFERROR(VLOOKUP(A29,source!$J$4:$L$13,2,0),"")</f>
        <v>3</v>
      </c>
      <c r="C29">
        <f>IF(B29="",9,Scoping!H10)</f>
        <v>1</v>
      </c>
      <c r="D29" t="str">
        <f>A29</f>
        <v>1.1.1.</v>
      </c>
    </row>
    <row r="30" spans="1:4" x14ac:dyDescent="0.25">
      <c r="A30" t="s">
        <v>23</v>
      </c>
      <c r="B30" s="493" t="str">
        <f>IFERROR(VLOOKUP(A30,source!$J$4:$L$13,2,0),"")</f>
        <v>2</v>
      </c>
      <c r="C30">
        <f>IF(B30="",9,Scoping!H11)</f>
        <v>1</v>
      </c>
      <c r="D30" t="str">
        <f t="shared" ref="D30:D93" si="1">A30</f>
        <v>1.1.2.</v>
      </c>
    </row>
    <row r="31" spans="1:4" x14ac:dyDescent="0.25">
      <c r="A31" t="s">
        <v>24</v>
      </c>
      <c r="B31" s="493" t="str">
        <f>IFERROR(VLOOKUP(A31,source!$J$4:$L$13,2,0),"")</f>
        <v>2</v>
      </c>
      <c r="C31">
        <f>IF(B31="",9,Scoping!H12)</f>
        <v>1</v>
      </c>
      <c r="D31" t="str">
        <f t="shared" si="1"/>
        <v>1.1.3.</v>
      </c>
    </row>
    <row r="32" spans="1:4" x14ac:dyDescent="0.25">
      <c r="A32" t="s">
        <v>25</v>
      </c>
      <c r="B32" s="493" t="str">
        <f>IFERROR(VLOOKUP(A32,source!$J$4:$L$13,2,0),"")</f>
        <v>1</v>
      </c>
      <c r="C32">
        <f>IF(B32="",9,Scoping!H13)</f>
        <v>1</v>
      </c>
      <c r="D32" t="str">
        <f t="shared" si="1"/>
        <v>1.1.4.</v>
      </c>
    </row>
    <row r="33" spans="1:4" x14ac:dyDescent="0.25">
      <c r="A33" t="s">
        <v>26</v>
      </c>
      <c r="B33" s="493" t="str">
        <f>IFERROR(VLOOKUP(A33,source!$J$4:$L$13,2,0),"")</f>
        <v/>
      </c>
      <c r="C33">
        <f>IF(B33="",9,Scoping!H14)</f>
        <v>9</v>
      </c>
      <c r="D33" t="str">
        <f t="shared" si="1"/>
        <v>1.1.5.</v>
      </c>
    </row>
    <row r="34" spans="1:4" x14ac:dyDescent="0.25">
      <c r="A34" t="s">
        <v>27</v>
      </c>
      <c r="B34" s="493" t="str">
        <f>IFERROR(VLOOKUP(A34,source!$J$4:$L$13,2,0),"")</f>
        <v/>
      </c>
      <c r="C34">
        <f>IF(B34="",9,Scoping!H15)</f>
        <v>9</v>
      </c>
      <c r="D34" t="str">
        <f t="shared" si="1"/>
        <v>1.1.6.</v>
      </c>
    </row>
    <row r="35" spans="1:4" x14ac:dyDescent="0.25">
      <c r="A35" t="s">
        <v>56</v>
      </c>
      <c r="B35" s="493" t="str">
        <f>IFERROR(VLOOKUP(A35,source!$P$4:$R$13,2,0),"")</f>
        <v>2</v>
      </c>
      <c r="C35">
        <f>IF(B35="",9,Scoping!H16)</f>
        <v>1</v>
      </c>
      <c r="D35" t="str">
        <f t="shared" si="1"/>
        <v>1.2.1.</v>
      </c>
    </row>
    <row r="36" spans="1:4" x14ac:dyDescent="0.25">
      <c r="A36" t="s">
        <v>57</v>
      </c>
      <c r="B36" s="493" t="str">
        <f>IFERROR(VLOOKUP(A36,source!$P$4:$R$13,2,0),"")</f>
        <v>5</v>
      </c>
      <c r="C36">
        <f>IF(B36="",9,Scoping!H17)</f>
        <v>1</v>
      </c>
      <c r="D36" t="str">
        <f t="shared" si="1"/>
        <v>1.2.2.</v>
      </c>
    </row>
    <row r="37" spans="1:4" x14ac:dyDescent="0.25">
      <c r="A37" t="s">
        <v>58</v>
      </c>
      <c r="B37" s="493" t="str">
        <f>IFERROR(VLOOKUP(A37,source!$P$4:$R$13,2,0),"")</f>
        <v>5</v>
      </c>
      <c r="C37">
        <f>IF(B37="",9,Scoping!H18)</f>
        <v>1</v>
      </c>
      <c r="D37" t="str">
        <f t="shared" si="1"/>
        <v>1.2.3.</v>
      </c>
    </row>
    <row r="38" spans="1:4" x14ac:dyDescent="0.25">
      <c r="A38" t="s">
        <v>59</v>
      </c>
      <c r="B38" s="493" t="str">
        <f>IFERROR(VLOOKUP(A38,source!$P$4:$R$13,2,0),"")</f>
        <v>4</v>
      </c>
      <c r="C38">
        <f>IF(B38="",9,Scoping!H19)</f>
        <v>1</v>
      </c>
      <c r="D38" t="str">
        <f t="shared" si="1"/>
        <v>1.2.4.</v>
      </c>
    </row>
    <row r="39" spans="1:4" x14ac:dyDescent="0.25">
      <c r="A39" t="s">
        <v>60</v>
      </c>
      <c r="B39" s="493" t="str">
        <f>IFERROR(VLOOKUP(A39,source!$P$4:$R$13,2,0),"")</f>
        <v>3</v>
      </c>
      <c r="C39">
        <f>IF(B39="",9,Scoping!H20)</f>
        <v>1</v>
      </c>
      <c r="D39" t="str">
        <f t="shared" si="1"/>
        <v>1.2.5.</v>
      </c>
    </row>
    <row r="40" spans="1:4" x14ac:dyDescent="0.25">
      <c r="A40" t="s">
        <v>61</v>
      </c>
      <c r="B40" s="493" t="str">
        <f>IFERROR(VLOOKUP(A40,source!$P$4:$R$13,2,0),"")</f>
        <v/>
      </c>
      <c r="C40">
        <f>IF(B40="",9,Scoping!H21)</f>
        <v>9</v>
      </c>
      <c r="D40" t="str">
        <f t="shared" si="1"/>
        <v>1.2.6.</v>
      </c>
    </row>
    <row r="41" spans="1:4" x14ac:dyDescent="0.25">
      <c r="A41" t="s">
        <v>62</v>
      </c>
      <c r="B41" s="493" t="str">
        <f>IFERROR(VLOOKUP(A41,source!$V$4:$X$13,2,0),"")</f>
        <v>3</v>
      </c>
      <c r="C41">
        <f>IF(B41="",9,Scoping!H22)</f>
        <v>1</v>
      </c>
      <c r="D41" t="str">
        <f t="shared" si="1"/>
        <v>1.3.1.</v>
      </c>
    </row>
    <row r="42" spans="1:4" x14ac:dyDescent="0.25">
      <c r="A42" t="s">
        <v>63</v>
      </c>
      <c r="B42" s="493" t="str">
        <f>IFERROR(VLOOKUP(A42,source!$V$4:$X$13,2,0),"")</f>
        <v>4</v>
      </c>
      <c r="C42">
        <f>IF(B42="",9,Scoping!H23)</f>
        <v>1</v>
      </c>
      <c r="D42" t="str">
        <f t="shared" si="1"/>
        <v>1.3.2.</v>
      </c>
    </row>
    <row r="43" spans="1:4" x14ac:dyDescent="0.25">
      <c r="A43" t="s">
        <v>64</v>
      </c>
      <c r="B43" s="493" t="str">
        <f>IFERROR(VLOOKUP(A43,source!$V$4:$X$13,2,0),"")</f>
        <v>3</v>
      </c>
      <c r="C43">
        <f>IF(B43="",9,Scoping!H24)</f>
        <v>1</v>
      </c>
      <c r="D43" t="str">
        <f t="shared" si="1"/>
        <v>1.3.3.</v>
      </c>
    </row>
    <row r="44" spans="1:4" x14ac:dyDescent="0.25">
      <c r="A44" t="s">
        <v>65</v>
      </c>
      <c r="B44" s="493" t="str">
        <f>IFERROR(VLOOKUP(A44,source!$V$4:$X$13,2,0),"")</f>
        <v>5</v>
      </c>
      <c r="C44">
        <f>IF(B44="",9,Scoping!H25)</f>
        <v>1</v>
      </c>
      <c r="D44" t="str">
        <f t="shared" si="1"/>
        <v>1.3.4.</v>
      </c>
    </row>
    <row r="45" spans="1:4" x14ac:dyDescent="0.25">
      <c r="A45" t="s">
        <v>66</v>
      </c>
      <c r="B45" s="493" t="str">
        <f>IFERROR(VLOOKUP(A45,source!$V$4:$X$13,2,0),"")</f>
        <v/>
      </c>
      <c r="C45">
        <f>IF(B45="",9,Scoping!H26)</f>
        <v>9</v>
      </c>
      <c r="D45" t="str">
        <f t="shared" si="1"/>
        <v>1.3.5.</v>
      </c>
    </row>
    <row r="46" spans="1:4" x14ac:dyDescent="0.25">
      <c r="A46" t="s">
        <v>67</v>
      </c>
      <c r="B46" s="493" t="str">
        <f>IFERROR(VLOOKUP(A46,source!$V$4:$X$13,2,0),"")</f>
        <v/>
      </c>
      <c r="C46">
        <f>IF(B46="",9,Scoping!H27)</f>
        <v>9</v>
      </c>
      <c r="D46" t="str">
        <f t="shared" si="1"/>
        <v>1.3.6.</v>
      </c>
    </row>
    <row r="47" spans="1:4" x14ac:dyDescent="0.25">
      <c r="A47" t="s">
        <v>68</v>
      </c>
      <c r="B47" s="493" t="str">
        <f>IFERROR(VLOOKUP(A47,source!$AB$4:$AD$13,2,0),"")</f>
        <v>4</v>
      </c>
      <c r="C47">
        <f>IF(B47="",9,Scoping!H28)</f>
        <v>1</v>
      </c>
      <c r="D47" t="str">
        <f t="shared" si="1"/>
        <v>1.4.1.</v>
      </c>
    </row>
    <row r="48" spans="1:4" x14ac:dyDescent="0.25">
      <c r="A48" t="s">
        <v>69</v>
      </c>
      <c r="B48" s="493" t="str">
        <f>IFERROR(VLOOKUP(A48,source!$AB$4:$AD$13,2,0),"")</f>
        <v>3</v>
      </c>
      <c r="C48">
        <f>IF(B48="",9,Scoping!H29)</f>
        <v>1</v>
      </c>
      <c r="D48" t="str">
        <f t="shared" si="1"/>
        <v>1.4.2.</v>
      </c>
    </row>
    <row r="49" spans="1:4" x14ac:dyDescent="0.25">
      <c r="A49" t="s">
        <v>70</v>
      </c>
      <c r="B49" s="493" t="str">
        <f>IFERROR(VLOOKUP(A49,source!$AB$4:$AD$13,2,0),"")</f>
        <v>5</v>
      </c>
      <c r="C49">
        <f>IF(B49="",9,Scoping!H30)</f>
        <v>1</v>
      </c>
      <c r="D49" t="str">
        <f t="shared" si="1"/>
        <v>1.4.3.</v>
      </c>
    </row>
    <row r="50" spans="1:4" x14ac:dyDescent="0.25">
      <c r="A50" t="s">
        <v>71</v>
      </c>
      <c r="B50" s="493" t="str">
        <f>IFERROR(VLOOKUP(A50,source!$AB$4:$AD$13,2,0),"")</f>
        <v>3</v>
      </c>
      <c r="C50">
        <f>IF(B50="",9,Scoping!H31)</f>
        <v>1</v>
      </c>
      <c r="D50" t="str">
        <f t="shared" si="1"/>
        <v>1.4.4.</v>
      </c>
    </row>
    <row r="51" spans="1:4" x14ac:dyDescent="0.25">
      <c r="A51" t="s">
        <v>72</v>
      </c>
      <c r="B51" s="493" t="str">
        <f>IFERROR(VLOOKUP(A51,source!$AB$4:$AD$13,2,0),"")</f>
        <v>2</v>
      </c>
      <c r="C51">
        <f>IF(B51="",9,Scoping!H32)</f>
        <v>1</v>
      </c>
      <c r="D51" t="str">
        <f t="shared" si="1"/>
        <v>1.4.5.</v>
      </c>
    </row>
    <row r="52" spans="1:4" x14ac:dyDescent="0.25">
      <c r="A52" t="s">
        <v>73</v>
      </c>
      <c r="B52" s="493" t="str">
        <f>IFERROR(VLOOKUP(A52,source!$AB$4:$AD$13,2,0),"")</f>
        <v/>
      </c>
      <c r="C52">
        <f>IF(B52="",9,Scoping!H33)</f>
        <v>9</v>
      </c>
      <c r="D52" t="str">
        <f t="shared" si="1"/>
        <v>1.4.6.</v>
      </c>
    </row>
    <row r="53" spans="1:4" x14ac:dyDescent="0.25">
      <c r="A53" t="s">
        <v>74</v>
      </c>
      <c r="B53" s="493" t="str">
        <f>IFERROR(VLOOKUP(A53,source!$AH$4:$AJ$13,2,0),"")</f>
        <v>2</v>
      </c>
      <c r="C53">
        <f>IF(B53="",9,Scoping!H34)</f>
        <v>1</v>
      </c>
      <c r="D53" t="str">
        <f t="shared" si="1"/>
        <v>2.1.1.</v>
      </c>
    </row>
    <row r="54" spans="1:4" x14ac:dyDescent="0.25">
      <c r="A54" t="s">
        <v>75</v>
      </c>
      <c r="B54" s="493" t="str">
        <f>IFERROR(VLOOKUP(A54,source!$AH$4:$AJ$13,2,0),"")</f>
        <v>2</v>
      </c>
      <c r="C54">
        <f>IF(B54="",9,Scoping!H35)</f>
        <v>1</v>
      </c>
      <c r="D54" t="str">
        <f t="shared" si="1"/>
        <v>2.1.2.</v>
      </c>
    </row>
    <row r="55" spans="1:4" x14ac:dyDescent="0.25">
      <c r="A55" t="s">
        <v>76</v>
      </c>
      <c r="B55" s="493" t="str">
        <f>IFERROR(VLOOKUP(A55,source!$AH$4:$AJ$13,2,0),"")</f>
        <v>1</v>
      </c>
      <c r="C55">
        <f>IF(B55="",9,Scoping!H36)</f>
        <v>1</v>
      </c>
      <c r="D55" t="str">
        <f t="shared" si="1"/>
        <v>2.1.3.</v>
      </c>
    </row>
    <row r="56" spans="1:4" x14ac:dyDescent="0.25">
      <c r="A56" t="s">
        <v>77</v>
      </c>
      <c r="B56" s="493" t="str">
        <f>IFERROR(VLOOKUP(A56,source!$AH$4:$AJ$13,2,0),"")</f>
        <v>2</v>
      </c>
      <c r="C56">
        <f>IF(B56="",9,Scoping!H37)</f>
        <v>1</v>
      </c>
      <c r="D56" t="str">
        <f t="shared" si="1"/>
        <v>2.1.4.</v>
      </c>
    </row>
    <row r="57" spans="1:4" x14ac:dyDescent="0.25">
      <c r="A57" t="s">
        <v>78</v>
      </c>
      <c r="B57" s="493" t="str">
        <f>IFERROR(VLOOKUP(A57,source!$AH$4:$AJ$13,2,0),"")</f>
        <v>2</v>
      </c>
      <c r="C57">
        <f>IF(B57="",9,Scoping!H38)</f>
        <v>1</v>
      </c>
      <c r="D57" t="str">
        <f t="shared" si="1"/>
        <v>2.1.5.</v>
      </c>
    </row>
    <row r="58" spans="1:4" x14ac:dyDescent="0.25">
      <c r="A58" t="s">
        <v>79</v>
      </c>
      <c r="B58" s="493" t="str">
        <f>IFERROR(VLOOKUP(A58,source!$AH$4:$AJ$13,2,0),"")</f>
        <v>3</v>
      </c>
      <c r="C58">
        <f>IF(B58="",9,Scoping!H39)</f>
        <v>1</v>
      </c>
      <c r="D58" t="str">
        <f t="shared" si="1"/>
        <v>2.1.6.</v>
      </c>
    </row>
    <row r="59" spans="1:4" x14ac:dyDescent="0.25">
      <c r="A59" t="s">
        <v>80</v>
      </c>
      <c r="B59" s="493" t="str">
        <f>IFERROR(VLOOKUP(A59,source!$AN$4:$AP$13,2,0),"")</f>
        <v>2</v>
      </c>
      <c r="C59">
        <f>IF(B59="",9,Scoping!H40)</f>
        <v>1</v>
      </c>
      <c r="D59" t="str">
        <f t="shared" si="1"/>
        <v>2.2.1.</v>
      </c>
    </row>
    <row r="60" spans="1:4" x14ac:dyDescent="0.25">
      <c r="A60" t="s">
        <v>81</v>
      </c>
      <c r="B60" s="493" t="str">
        <f>IFERROR(VLOOKUP(A60,source!$AN$4:$AP$13,2,0),"")</f>
        <v>3</v>
      </c>
      <c r="C60">
        <f>IF(B60="",9,Scoping!H41)</f>
        <v>1</v>
      </c>
      <c r="D60" t="str">
        <f t="shared" si="1"/>
        <v>2.2.2.</v>
      </c>
    </row>
    <row r="61" spans="1:4" x14ac:dyDescent="0.25">
      <c r="A61" t="s">
        <v>82</v>
      </c>
      <c r="B61" s="493" t="str">
        <f>IFERROR(VLOOKUP(A61,source!$AN$4:$AP$13,2,0),"")</f>
        <v>4</v>
      </c>
      <c r="C61">
        <f>IF(B61="",9,Scoping!H42)</f>
        <v>1</v>
      </c>
      <c r="D61" t="str">
        <f t="shared" si="1"/>
        <v>2.2.3.</v>
      </c>
    </row>
    <row r="62" spans="1:4" x14ac:dyDescent="0.25">
      <c r="A62" t="s">
        <v>83</v>
      </c>
      <c r="B62" s="493" t="str">
        <f>IFERROR(VLOOKUP(A62,source!$AN$4:$AP$13,2,0),"")</f>
        <v>3</v>
      </c>
      <c r="C62">
        <f>IF(B62="",9,Scoping!H43)</f>
        <v>1</v>
      </c>
      <c r="D62" t="str">
        <f t="shared" si="1"/>
        <v>2.2.4.</v>
      </c>
    </row>
    <row r="63" spans="1:4" x14ac:dyDescent="0.25">
      <c r="A63" t="s">
        <v>84</v>
      </c>
      <c r="B63" s="493" t="str">
        <f>IFERROR(VLOOKUP(A63,source!$AN$4:$AP$13,2,0),"")</f>
        <v>2</v>
      </c>
      <c r="C63">
        <f>IF(B63="",9,Scoping!H44)</f>
        <v>1</v>
      </c>
      <c r="D63" t="str">
        <f t="shared" si="1"/>
        <v>2.2.5.</v>
      </c>
    </row>
    <row r="64" spans="1:4" x14ac:dyDescent="0.25">
      <c r="A64" t="s">
        <v>85</v>
      </c>
      <c r="B64" s="493" t="str">
        <f>IFERROR(VLOOKUP(A64,source!$AN$4:$AP$13,2,0),"")</f>
        <v>4</v>
      </c>
      <c r="C64">
        <f>IF(B64="",9,Scoping!H45)</f>
        <v>1</v>
      </c>
      <c r="D64" t="str">
        <f t="shared" si="1"/>
        <v>2.2.6.</v>
      </c>
    </row>
    <row r="65" spans="1:4" x14ac:dyDescent="0.25">
      <c r="A65" t="s">
        <v>285</v>
      </c>
      <c r="B65" s="493" t="str">
        <f>IFERROR(VLOOKUP(A65,source!$AN$4:$AP$13,2,0),"")</f>
        <v>2</v>
      </c>
      <c r="C65">
        <f>IF(B65="",9,Scoping!H46)</f>
        <v>1</v>
      </c>
      <c r="D65" t="str">
        <f t="shared" si="1"/>
        <v>2.2.7.</v>
      </c>
    </row>
    <row r="66" spans="1:4" x14ac:dyDescent="0.25">
      <c r="A66" t="s">
        <v>86</v>
      </c>
      <c r="B66" s="493" t="str">
        <f>IFERROR(VLOOKUP(A66,source!$AT$4:$AV$13,2,0),"")</f>
        <v>4</v>
      </c>
      <c r="C66">
        <f>IF(B66="",9,Scoping!H47)</f>
        <v>1</v>
      </c>
      <c r="D66" t="str">
        <f t="shared" si="1"/>
        <v>2.3.1.</v>
      </c>
    </row>
    <row r="67" spans="1:4" x14ac:dyDescent="0.25">
      <c r="A67" t="s">
        <v>87</v>
      </c>
      <c r="B67" s="493" t="str">
        <f>IFERROR(VLOOKUP(A67,source!$AT$4:$AV$13,2,0),"")</f>
        <v>3</v>
      </c>
      <c r="C67">
        <f>IF(B67="",9,Scoping!H48)</f>
        <v>1</v>
      </c>
      <c r="D67" t="str">
        <f t="shared" si="1"/>
        <v>2.3.2.</v>
      </c>
    </row>
    <row r="68" spans="1:4" x14ac:dyDescent="0.25">
      <c r="A68" t="s">
        <v>88</v>
      </c>
      <c r="B68" s="493" t="str">
        <f>IFERROR(VLOOKUP(A68,source!$AT$4:$AV$13,2,0),"")</f>
        <v>3</v>
      </c>
      <c r="C68">
        <f>IF(B68="",9,Scoping!H49)</f>
        <v>1</v>
      </c>
      <c r="D68" t="str">
        <f t="shared" si="1"/>
        <v>2.3.3.</v>
      </c>
    </row>
    <row r="69" spans="1:4" x14ac:dyDescent="0.25">
      <c r="A69" t="s">
        <v>89</v>
      </c>
      <c r="B69" s="493" t="str">
        <f>IFERROR(VLOOKUP(A69,source!$AT$4:$AV$13,2,0),"")</f>
        <v>1</v>
      </c>
      <c r="C69">
        <f>IF(B69="",9,Scoping!H50)</f>
        <v>1</v>
      </c>
      <c r="D69" t="str">
        <f t="shared" si="1"/>
        <v>2.3.4.</v>
      </c>
    </row>
    <row r="70" spans="1:4" x14ac:dyDescent="0.25">
      <c r="A70" t="s">
        <v>90</v>
      </c>
      <c r="B70" s="493" t="str">
        <f>IFERROR(VLOOKUP(A70,source!$AT$4:$AV$13,2,0),"")</f>
        <v>2</v>
      </c>
      <c r="C70">
        <f>IF(B70="",9,Scoping!H51)</f>
        <v>1</v>
      </c>
      <c r="D70" t="str">
        <f t="shared" si="1"/>
        <v>2.3.5.</v>
      </c>
    </row>
    <row r="71" spans="1:4" x14ac:dyDescent="0.25">
      <c r="A71" t="s">
        <v>91</v>
      </c>
      <c r="B71" s="493" t="str">
        <f>IFERROR(VLOOKUP(A71,source!$AT$4:$AV$13,2,0),"")</f>
        <v/>
      </c>
      <c r="C71">
        <f>IF(B71="",9,Scoping!H52)</f>
        <v>9</v>
      </c>
      <c r="D71" t="str">
        <f t="shared" si="1"/>
        <v>2.3.6.</v>
      </c>
    </row>
    <row r="72" spans="1:4" x14ac:dyDescent="0.25">
      <c r="A72" t="s">
        <v>92</v>
      </c>
      <c r="B72" s="493" t="str">
        <f>IFERROR(VLOOKUP(A72,source!$AZ$4:$BB$13,2,0),"")</f>
        <v>4</v>
      </c>
      <c r="C72">
        <f>IF(B72="",9,Scoping!H53)</f>
        <v>1</v>
      </c>
      <c r="D72" t="str">
        <f t="shared" si="1"/>
        <v>2.4.1.</v>
      </c>
    </row>
    <row r="73" spans="1:4" x14ac:dyDescent="0.25">
      <c r="A73" t="s">
        <v>93</v>
      </c>
      <c r="B73" s="493" t="str">
        <f>IFERROR(VLOOKUP(A73,source!$AZ$4:$BB$13,2,0),"")</f>
        <v>3</v>
      </c>
      <c r="C73">
        <f>IF(B73="",9,Scoping!H54)</f>
        <v>1</v>
      </c>
      <c r="D73" t="str">
        <f t="shared" si="1"/>
        <v>2.4.2.</v>
      </c>
    </row>
    <row r="74" spans="1:4" x14ac:dyDescent="0.25">
      <c r="A74" t="s">
        <v>94</v>
      </c>
      <c r="B74" s="493" t="str">
        <f>IFERROR(VLOOKUP(A74,source!$AZ$4:$BB$13,2,0),"")</f>
        <v>4</v>
      </c>
      <c r="C74">
        <f>IF(B74="",9,Scoping!H55)</f>
        <v>1</v>
      </c>
      <c r="D74" t="str">
        <f t="shared" si="1"/>
        <v>2.4.3.</v>
      </c>
    </row>
    <row r="75" spans="1:4" x14ac:dyDescent="0.25">
      <c r="A75" t="s">
        <v>95</v>
      </c>
      <c r="B75" s="493" t="str">
        <f>IFERROR(VLOOKUP(A75,source!$AZ$4:$BB$13,2,0),"")</f>
        <v>2</v>
      </c>
      <c r="C75">
        <f>IF(B75="",9,Scoping!H56)</f>
        <v>1</v>
      </c>
      <c r="D75" t="str">
        <f t="shared" si="1"/>
        <v>2.4.4.</v>
      </c>
    </row>
    <row r="76" spans="1:4" x14ac:dyDescent="0.25">
      <c r="A76" t="s">
        <v>96</v>
      </c>
      <c r="B76" s="493" t="str">
        <f>IFERROR(VLOOKUP(A76,source!$AZ$4:$BB$13,2,0),"")</f>
        <v>2</v>
      </c>
      <c r="C76">
        <f>IF(B76="",9,Scoping!H57)</f>
        <v>1</v>
      </c>
      <c r="D76" t="str">
        <f t="shared" si="1"/>
        <v>2.4.5.</v>
      </c>
    </row>
    <row r="77" spans="1:4" x14ac:dyDescent="0.25">
      <c r="A77" t="s">
        <v>97</v>
      </c>
      <c r="B77" s="493" t="str">
        <f>IFERROR(VLOOKUP(A77,source!$AZ$4:$BB$13,2,0),"")</f>
        <v/>
      </c>
      <c r="C77">
        <f>IF(B77="",9,Scoping!H58)</f>
        <v>9</v>
      </c>
      <c r="D77" t="str">
        <f t="shared" si="1"/>
        <v>2.4.6.</v>
      </c>
    </row>
    <row r="78" spans="1:4" x14ac:dyDescent="0.25">
      <c r="A78" t="s">
        <v>98</v>
      </c>
      <c r="B78" s="493" t="str">
        <f>IFERROR(VLOOKUP(A78,source!$BF$4:$BH$13,2,0),"")</f>
        <v>6</v>
      </c>
      <c r="C78">
        <f>IF(B78="",9,Scoping!H59)</f>
        <v>1</v>
      </c>
      <c r="D78" t="str">
        <f t="shared" si="1"/>
        <v>3.1.1.</v>
      </c>
    </row>
    <row r="79" spans="1:4" x14ac:dyDescent="0.25">
      <c r="A79" t="s">
        <v>99</v>
      </c>
      <c r="B79" s="493" t="str">
        <f>IFERROR(VLOOKUP(A79,source!$BF$4:$BH$13,2,0),"")</f>
        <v>4</v>
      </c>
      <c r="C79">
        <f>IF(B79="",9,Scoping!H60)</f>
        <v>1</v>
      </c>
      <c r="D79" t="str">
        <f t="shared" si="1"/>
        <v>3.1.2.</v>
      </c>
    </row>
    <row r="80" spans="1:4" x14ac:dyDescent="0.25">
      <c r="A80" t="s">
        <v>100</v>
      </c>
      <c r="B80" s="493" t="str">
        <f>IFERROR(VLOOKUP(A80,source!$BF$4:$BH$13,2,0),"")</f>
        <v>5</v>
      </c>
      <c r="C80">
        <f>IF(B80="",9,Scoping!H61)</f>
        <v>1</v>
      </c>
      <c r="D80" t="str">
        <f t="shared" si="1"/>
        <v>3.1.3.</v>
      </c>
    </row>
    <row r="81" spans="1:4" x14ac:dyDescent="0.25">
      <c r="A81" t="s">
        <v>101</v>
      </c>
      <c r="B81" s="493" t="str">
        <f>IFERROR(VLOOKUP(A81,source!$BF$4:$BH$13,2,0),"")</f>
        <v>3</v>
      </c>
      <c r="C81">
        <f>IF(B81="",9,Scoping!H62)</f>
        <v>1</v>
      </c>
      <c r="D81" t="str">
        <f t="shared" si="1"/>
        <v>3.1.4.</v>
      </c>
    </row>
    <row r="82" spans="1:4" x14ac:dyDescent="0.25">
      <c r="A82" t="s">
        <v>102</v>
      </c>
      <c r="B82" s="493" t="str">
        <f>IFERROR(VLOOKUP(A82,source!$BF$4:$BH$13,2,0),"")</f>
        <v>3</v>
      </c>
      <c r="C82">
        <f>IF(B82="",9,Scoping!H63)</f>
        <v>1</v>
      </c>
      <c r="D82" t="str">
        <f t="shared" si="1"/>
        <v>3.1.5.</v>
      </c>
    </row>
    <row r="83" spans="1:4" x14ac:dyDescent="0.25">
      <c r="A83" t="s">
        <v>103</v>
      </c>
      <c r="B83" s="493" t="str">
        <f>IFERROR(VLOOKUP(A83,source!$BF$4:$BH$13,2,0),"")</f>
        <v>4</v>
      </c>
      <c r="C83">
        <f>IF(B83="",9,Scoping!H64)</f>
        <v>1</v>
      </c>
      <c r="D83" t="str">
        <f t="shared" si="1"/>
        <v>3.1.6.</v>
      </c>
    </row>
    <row r="84" spans="1:4" x14ac:dyDescent="0.25">
      <c r="A84" t="s">
        <v>104</v>
      </c>
      <c r="B84" s="493" t="str">
        <f>IFERROR(VLOOKUP(A84,source!$BL$4:$BN$13,2,0),"")</f>
        <v>3</v>
      </c>
      <c r="C84">
        <f>IF(B84="",9,Scoping!H65)</f>
        <v>1</v>
      </c>
      <c r="D84" t="str">
        <f t="shared" si="1"/>
        <v>3.2.1.</v>
      </c>
    </row>
    <row r="85" spans="1:4" x14ac:dyDescent="0.25">
      <c r="A85" t="s">
        <v>105</v>
      </c>
      <c r="B85" s="493" t="str">
        <f>IFERROR(VLOOKUP(A85,source!$BL$4:$BN$13,2,0),"")</f>
        <v>1</v>
      </c>
      <c r="C85">
        <f>IF(B85="",9,Scoping!H66)</f>
        <v>1</v>
      </c>
      <c r="D85" t="str">
        <f t="shared" si="1"/>
        <v>3.2.2.</v>
      </c>
    </row>
    <row r="86" spans="1:4" x14ac:dyDescent="0.25">
      <c r="A86" t="s">
        <v>106</v>
      </c>
      <c r="B86" s="493" t="str">
        <f>IFERROR(VLOOKUP(A86,source!$BL$4:$BN$13,2,0),"")</f>
        <v>3</v>
      </c>
      <c r="C86">
        <f>IF(B86="",9,Scoping!H67)</f>
        <v>1</v>
      </c>
      <c r="D86" t="str">
        <f t="shared" si="1"/>
        <v>3.2.3.</v>
      </c>
    </row>
    <row r="87" spans="1:4" x14ac:dyDescent="0.25">
      <c r="A87" t="s">
        <v>107</v>
      </c>
      <c r="B87" s="493" t="str">
        <f>IFERROR(VLOOKUP(A87,source!$BL$4:$BN$13,2,0),"")</f>
        <v/>
      </c>
      <c r="C87">
        <f>IF(B87="",9,Scoping!H68)</f>
        <v>9</v>
      </c>
      <c r="D87" t="str">
        <f t="shared" si="1"/>
        <v>3.2.4.</v>
      </c>
    </row>
    <row r="88" spans="1:4" x14ac:dyDescent="0.25">
      <c r="A88" t="s">
        <v>108</v>
      </c>
      <c r="B88" s="493" t="str">
        <f>IFERROR(VLOOKUP(A88,source!$BL$4:$BN$13,2,0),"")</f>
        <v/>
      </c>
      <c r="C88">
        <f>IF(B88="",9,Scoping!H69)</f>
        <v>9</v>
      </c>
      <c r="D88" t="str">
        <f t="shared" si="1"/>
        <v>3.2.5.</v>
      </c>
    </row>
    <row r="89" spans="1:4" x14ac:dyDescent="0.25">
      <c r="A89" t="s">
        <v>109</v>
      </c>
      <c r="B89" s="493" t="str">
        <f>IFERROR(VLOOKUP(A89,source!$BL$4:$BN$13,2,0),"")</f>
        <v/>
      </c>
      <c r="C89">
        <f>IF(B89="",9,Scoping!H70)</f>
        <v>9</v>
      </c>
      <c r="D89" t="str">
        <f t="shared" si="1"/>
        <v>3.2.6.</v>
      </c>
    </row>
    <row r="90" spans="1:4" x14ac:dyDescent="0.25">
      <c r="A90" t="s">
        <v>110</v>
      </c>
      <c r="B90" s="493" t="str">
        <f>IFERROR(VLOOKUP(A90,source!$BR$4:$BT$13,2,0),"")</f>
        <v>4</v>
      </c>
      <c r="C90">
        <f>IF(B90="",9,Scoping!H71)</f>
        <v>1</v>
      </c>
      <c r="D90" t="str">
        <f t="shared" si="1"/>
        <v>3.3.1.</v>
      </c>
    </row>
    <row r="91" spans="1:4" x14ac:dyDescent="0.25">
      <c r="A91" t="s">
        <v>111</v>
      </c>
      <c r="B91" s="493" t="str">
        <f>IFERROR(VLOOKUP(A91,source!$BR$4:$BT$13,2,0),"")</f>
        <v>4</v>
      </c>
      <c r="C91">
        <f>IF(B91="",9,Scoping!H72)</f>
        <v>1</v>
      </c>
      <c r="D91" t="str">
        <f t="shared" si="1"/>
        <v>3.3.2.</v>
      </c>
    </row>
    <row r="92" spans="1:4" x14ac:dyDescent="0.25">
      <c r="A92" t="s">
        <v>112</v>
      </c>
      <c r="B92" s="493" t="str">
        <f>IFERROR(VLOOKUP(A92,source!$BR$4:$BT$13,2,0),"")</f>
        <v>5</v>
      </c>
      <c r="C92">
        <f>IF(B92="",9,Scoping!H73)</f>
        <v>1</v>
      </c>
      <c r="D92" t="str">
        <f t="shared" si="1"/>
        <v>3.3.3.</v>
      </c>
    </row>
    <row r="93" spans="1:4" x14ac:dyDescent="0.25">
      <c r="A93" t="s">
        <v>113</v>
      </c>
      <c r="B93" s="493" t="str">
        <f>IFERROR(VLOOKUP(A93,source!$BR$4:$BT$13,2,0),"")</f>
        <v>5</v>
      </c>
      <c r="C93">
        <f>IF(B93="",9,Scoping!H74)</f>
        <v>1</v>
      </c>
      <c r="D93" t="str">
        <f t="shared" si="1"/>
        <v>3.3.4.</v>
      </c>
    </row>
    <row r="94" spans="1:4" x14ac:dyDescent="0.25">
      <c r="A94" t="s">
        <v>114</v>
      </c>
      <c r="B94" s="493" t="str">
        <f>IFERROR(VLOOKUP(A94,source!$BR$4:$BT$13,2,0),"")</f>
        <v>3</v>
      </c>
      <c r="C94">
        <f>IF(B94="",9,Scoping!H75)</f>
        <v>1</v>
      </c>
      <c r="D94" t="str">
        <f t="shared" ref="D94:D114" si="2">A94</f>
        <v>3.3.5.</v>
      </c>
    </row>
    <row r="95" spans="1:4" x14ac:dyDescent="0.25">
      <c r="A95" t="s">
        <v>115</v>
      </c>
      <c r="B95" s="493" t="str">
        <f>IFERROR(VLOOKUP(A95,source!$BR$4:$BT$13,2,0),"")</f>
        <v>2</v>
      </c>
      <c r="C95">
        <f>IF(B95="",9,Scoping!H76)</f>
        <v>1</v>
      </c>
      <c r="D95" t="str">
        <f t="shared" si="2"/>
        <v>3.3.6.</v>
      </c>
    </row>
    <row r="96" spans="1:4" x14ac:dyDescent="0.25">
      <c r="A96" t="s">
        <v>116</v>
      </c>
      <c r="B96" s="493" t="str">
        <f>IFERROR(VLOOKUP(A96,source!$BX$4:$BZ$13,2,0),"")</f>
        <v>3</v>
      </c>
      <c r="C96">
        <f>IF(B96="",9,Scoping!H77)</f>
        <v>1</v>
      </c>
      <c r="D96" t="str">
        <f t="shared" si="2"/>
        <v>3.4.1.</v>
      </c>
    </row>
    <row r="97" spans="1:4" x14ac:dyDescent="0.25">
      <c r="A97" t="s">
        <v>117</v>
      </c>
      <c r="B97" s="493" t="str">
        <f>IFERROR(VLOOKUP(A97,source!$BX$4:$BZ$13,2,0),"")</f>
        <v>1</v>
      </c>
      <c r="C97">
        <f>IF(B97="",9,Scoping!H78)</f>
        <v>1</v>
      </c>
      <c r="D97" t="str">
        <f t="shared" si="2"/>
        <v>3.4.2.</v>
      </c>
    </row>
    <row r="98" spans="1:4" x14ac:dyDescent="0.25">
      <c r="A98" t="s">
        <v>118</v>
      </c>
      <c r="B98" s="493" t="str">
        <f>IFERROR(VLOOKUP(A98,source!$BX$4:$BZ$13,2,0),"")</f>
        <v>1</v>
      </c>
      <c r="C98">
        <f>IF(B98="",9,Scoping!H79)</f>
        <v>1</v>
      </c>
      <c r="D98" t="str">
        <f t="shared" si="2"/>
        <v>3.4.3.</v>
      </c>
    </row>
    <row r="99" spans="1:4" x14ac:dyDescent="0.25">
      <c r="A99" t="s">
        <v>119</v>
      </c>
      <c r="B99" s="493" t="str">
        <f>IFERROR(VLOOKUP(A99,source!$BX$4:$BZ$13,2,0),"")</f>
        <v/>
      </c>
      <c r="C99">
        <f>IF(B99="",9,Scoping!H80)</f>
        <v>9</v>
      </c>
      <c r="D99" t="str">
        <f t="shared" si="2"/>
        <v>3.4.4.</v>
      </c>
    </row>
    <row r="100" spans="1:4" x14ac:dyDescent="0.25">
      <c r="A100" t="s">
        <v>120</v>
      </c>
      <c r="B100" s="493" t="str">
        <f>IFERROR(VLOOKUP(A100,source!$BX$4:$BZ$13,2,0),"")</f>
        <v/>
      </c>
      <c r="C100">
        <f>IF(B100="",9,Scoping!H81)</f>
        <v>9</v>
      </c>
      <c r="D100" t="str">
        <f t="shared" si="2"/>
        <v>3.4.5.</v>
      </c>
    </row>
    <row r="101" spans="1:4" x14ac:dyDescent="0.25">
      <c r="A101" t="s">
        <v>121</v>
      </c>
      <c r="B101" s="493" t="str">
        <f>IFERROR(VLOOKUP(A101,source!$BX$4:$BZ$13,2,0),"")</f>
        <v/>
      </c>
      <c r="C101">
        <f>IF(B101="",9,Scoping!H82)</f>
        <v>9</v>
      </c>
      <c r="D101" t="str">
        <f t="shared" si="2"/>
        <v>3.4.6.</v>
      </c>
    </row>
    <row r="102" spans="1:4" x14ac:dyDescent="0.25">
      <c r="A102" t="s">
        <v>122</v>
      </c>
      <c r="B102" s="493" t="str">
        <f>IFERROR(VLOOKUP(A102,source!$CD$4:$CF$13,2,0),"")</f>
        <v>5</v>
      </c>
      <c r="C102">
        <f>IF(B102="",9,Scoping!H83)</f>
        <v>1</v>
      </c>
      <c r="D102" t="str">
        <f t="shared" si="2"/>
        <v>4.1.1.</v>
      </c>
    </row>
    <row r="103" spans="1:4" x14ac:dyDescent="0.25">
      <c r="A103" t="s">
        <v>123</v>
      </c>
      <c r="B103" s="493" t="str">
        <f>IFERROR(VLOOKUP(A103,source!$CD$4:$CF$13,2,0),"")</f>
        <v>3</v>
      </c>
      <c r="C103">
        <f>IF(B103="",9,Scoping!H84)</f>
        <v>1</v>
      </c>
      <c r="D103" t="str">
        <f t="shared" si="2"/>
        <v>4.1.2.</v>
      </c>
    </row>
    <row r="104" spans="1:4" x14ac:dyDescent="0.25">
      <c r="A104" t="s">
        <v>124</v>
      </c>
      <c r="B104" s="493" t="str">
        <f>IFERROR(VLOOKUP(A104,source!$CD$4:$CF$13,2,0),"")</f>
        <v>4</v>
      </c>
      <c r="C104">
        <f>IF(B104="",9,Scoping!H85)</f>
        <v>1</v>
      </c>
      <c r="D104" t="str">
        <f t="shared" si="2"/>
        <v>4.1.3.</v>
      </c>
    </row>
    <row r="105" spans="1:4" x14ac:dyDescent="0.25">
      <c r="A105" t="s">
        <v>125</v>
      </c>
      <c r="B105" s="493" t="str">
        <f>IFERROR(VLOOKUP(A105,source!$CD$4:$CF$13,2,0),"")</f>
        <v>3</v>
      </c>
      <c r="C105">
        <f>IF(B105="",9,Scoping!H86)</f>
        <v>1</v>
      </c>
      <c r="D105" t="str">
        <f t="shared" si="2"/>
        <v>4.1.4.</v>
      </c>
    </row>
    <row r="106" spans="1:4" x14ac:dyDescent="0.25">
      <c r="A106" t="s">
        <v>126</v>
      </c>
      <c r="B106" s="493" t="str">
        <f>IFERROR(VLOOKUP(A106,source!$CJ$4:$CL$13,2,0),"")</f>
        <v>2</v>
      </c>
      <c r="C106">
        <f>IF(B106="",9,Scoping!H87)</f>
        <v>1</v>
      </c>
      <c r="D106" t="str">
        <f t="shared" si="2"/>
        <v>4.2.1.</v>
      </c>
    </row>
    <row r="107" spans="1:4" x14ac:dyDescent="0.25">
      <c r="A107" t="s">
        <v>127</v>
      </c>
      <c r="B107" s="493" t="str">
        <f>IFERROR(VLOOKUP(A107,source!$CJ$4:$CL$13,2,0),"")</f>
        <v>2</v>
      </c>
      <c r="C107">
        <f>IF(B107="",9,Scoping!H88)</f>
        <v>1</v>
      </c>
      <c r="D107" t="str">
        <f t="shared" si="2"/>
        <v>4.2.2.</v>
      </c>
    </row>
    <row r="108" spans="1:4" x14ac:dyDescent="0.25">
      <c r="A108" t="s">
        <v>128</v>
      </c>
      <c r="B108" s="493" t="str">
        <f>IFERROR(VLOOKUP(A108,source!$CJ$4:$CL$13,2,0),"")</f>
        <v>2</v>
      </c>
      <c r="C108">
        <f>IF(B108="",9,Scoping!H89)</f>
        <v>1</v>
      </c>
      <c r="D108" t="str">
        <f t="shared" si="2"/>
        <v>4.2.3.</v>
      </c>
    </row>
    <row r="109" spans="1:4" x14ac:dyDescent="0.25">
      <c r="A109" t="s">
        <v>129</v>
      </c>
      <c r="B109" s="493" t="str">
        <f>IFERROR(VLOOKUP(A109,source!$CJ$4:$CL$13,2,0),"")</f>
        <v>1</v>
      </c>
      <c r="C109">
        <f>IF(B109="",9,Scoping!H90)</f>
        <v>1</v>
      </c>
      <c r="D109" t="str">
        <f t="shared" si="2"/>
        <v>4.2.4.</v>
      </c>
    </row>
    <row r="110" spans="1:4" x14ac:dyDescent="0.25">
      <c r="A110" t="s">
        <v>130</v>
      </c>
      <c r="B110" s="493" t="str">
        <f>IFERROR(VLOOKUP(A110,source!$CJ$4:$CL$13,2,0),"")</f>
        <v>2</v>
      </c>
      <c r="C110">
        <f>IF(B110="",9,Scoping!H91)</f>
        <v>1</v>
      </c>
      <c r="D110" t="str">
        <f t="shared" si="2"/>
        <v>4.2.5.</v>
      </c>
    </row>
    <row r="111" spans="1:4" x14ac:dyDescent="0.25">
      <c r="A111" t="s">
        <v>131</v>
      </c>
      <c r="B111" s="493" t="str">
        <f>IFERROR(VLOOKUP(A111,source!$CP$4:$CR$13,2,0),"")</f>
        <v>2</v>
      </c>
      <c r="C111">
        <f>IF(B111="",9,Scoping!H92)</f>
        <v>1</v>
      </c>
      <c r="D111" t="str">
        <f t="shared" si="2"/>
        <v>4.3.1.</v>
      </c>
    </row>
    <row r="112" spans="1:4" x14ac:dyDescent="0.25">
      <c r="A112" t="s">
        <v>132</v>
      </c>
      <c r="B112" s="493" t="str">
        <f>IFERROR(VLOOKUP(A112,source!$CP$4:$CR$13,2,0),"")</f>
        <v>2</v>
      </c>
      <c r="C112">
        <f>IF(B112="",9,Scoping!H93)</f>
        <v>1</v>
      </c>
      <c r="D112" t="str">
        <f t="shared" si="2"/>
        <v>4.3.2.</v>
      </c>
    </row>
    <row r="113" spans="1:6" x14ac:dyDescent="0.25">
      <c r="A113" t="s">
        <v>133</v>
      </c>
      <c r="B113" s="493" t="str">
        <f>IFERROR(VLOOKUP(A113,source!$CP$4:$CR$13,2,0),"")</f>
        <v>1</v>
      </c>
      <c r="C113">
        <f>IF(B113="",9,Scoping!H94)</f>
        <v>1</v>
      </c>
      <c r="D113" t="str">
        <f t="shared" si="2"/>
        <v>4.3.3.</v>
      </c>
    </row>
    <row r="114" spans="1:6" x14ac:dyDescent="0.25">
      <c r="A114" t="s">
        <v>134</v>
      </c>
      <c r="B114" s="493" t="str">
        <f>IFERROR(VLOOKUP(A114,source!$CP$4:$CR$13,2,0),"")</f>
        <v>2</v>
      </c>
      <c r="C114">
        <f>IF(B114="",9,Scoping!H95)</f>
        <v>1</v>
      </c>
      <c r="D114" t="str">
        <f t="shared" si="2"/>
        <v>4.3.4.</v>
      </c>
    </row>
    <row r="116" spans="1:6" x14ac:dyDescent="0.25">
      <c r="A116" s="1" t="s">
        <v>135</v>
      </c>
    </row>
    <row r="117" spans="1:6" x14ac:dyDescent="0.25">
      <c r="A117" t="s">
        <v>18</v>
      </c>
      <c r="B117" s="493" t="str">
        <f>VLOOKUP(E117,source!$CZ$4:$DA$18,2,0)</f>
        <v>5</v>
      </c>
      <c r="E117" t="str">
        <f>_xlfn.TEXTAFTER(A117," ")</f>
        <v>Strategy and vision</v>
      </c>
      <c r="F117" t="str">
        <f>LEFT(A117,4)</f>
        <v>1.1.</v>
      </c>
    </row>
    <row r="118" spans="1:6" x14ac:dyDescent="0.25">
      <c r="A118" t="s">
        <v>19</v>
      </c>
      <c r="B118" s="493" t="str">
        <f>VLOOKUP(E118,source!$CZ$4:$DA$18,2,0)</f>
        <v>4</v>
      </c>
      <c r="E118" t="str">
        <f t="shared" ref="E118:E131" si="3">_xlfn.TEXTAFTER(A118," ")</f>
        <v>Policies and documentation</v>
      </c>
      <c r="F118" t="str">
        <f t="shared" ref="F118:F131" si="4">LEFT(A118,4)</f>
        <v>1.2.</v>
      </c>
    </row>
    <row r="119" spans="1:6" x14ac:dyDescent="0.25">
      <c r="A119" t="s">
        <v>20</v>
      </c>
      <c r="B119" s="493" t="str">
        <f>VLOOKUP(E119,source!$CZ$4:$DA$18,2,0)</f>
        <v>2</v>
      </c>
      <c r="E119" t="str">
        <f t="shared" si="3"/>
        <v>Compliance</v>
      </c>
      <c r="F119" t="str">
        <f t="shared" si="4"/>
        <v>1.3.</v>
      </c>
    </row>
    <row r="120" spans="1:6" x14ac:dyDescent="0.25">
      <c r="A120" t="s">
        <v>21</v>
      </c>
      <c r="B120" s="493" t="str">
        <f>VLOOKUP(E120,source!$CZ$4:$DA$18,2,0)</f>
        <v>3</v>
      </c>
      <c r="E120" t="str">
        <f t="shared" si="3"/>
        <v>Processes and procedures</v>
      </c>
      <c r="F120" t="str">
        <f t="shared" si="4"/>
        <v>1.4.</v>
      </c>
    </row>
    <row r="121" spans="1:6" x14ac:dyDescent="0.25">
      <c r="A121" t="s">
        <v>31</v>
      </c>
      <c r="B121" s="493" t="str">
        <f>VLOOKUP(E121,source!$CZ$4:$DA$18,2,0)</f>
        <v>4</v>
      </c>
      <c r="E121" t="str">
        <f t="shared" si="3"/>
        <v>Key Management</v>
      </c>
      <c r="F121" t="str">
        <f t="shared" si="4"/>
        <v>2.1.</v>
      </c>
    </row>
    <row r="122" spans="1:6" x14ac:dyDescent="0.25">
      <c r="A122" t="s">
        <v>32</v>
      </c>
      <c r="B122" s="493" t="str">
        <f>VLOOKUP(E122,source!$CZ$4:$DA$18,2,0)</f>
        <v>4</v>
      </c>
      <c r="E122" t="str">
        <f t="shared" si="3"/>
        <v>Certificate Management</v>
      </c>
      <c r="F122" t="str">
        <f t="shared" si="4"/>
        <v>2.2.</v>
      </c>
    </row>
    <row r="123" spans="1:6" x14ac:dyDescent="0.25">
      <c r="A123" t="s">
        <v>33</v>
      </c>
      <c r="B123" s="493" t="str">
        <f>VLOOKUP(E123,source!$CZ$4:$DA$18,2,0)</f>
        <v>2</v>
      </c>
      <c r="E123" t="str">
        <f t="shared" si="3"/>
        <v>Infrastructure Management</v>
      </c>
      <c r="F123" t="str">
        <f t="shared" si="4"/>
        <v>2.3.</v>
      </c>
    </row>
    <row r="124" spans="1:6" x14ac:dyDescent="0.25">
      <c r="A124" t="s">
        <v>34</v>
      </c>
      <c r="B124" s="493" t="str">
        <f>VLOOKUP(E124,source!$CZ$4:$DA$18,2,0)</f>
        <v>3</v>
      </c>
      <c r="E124" t="str">
        <f t="shared" si="3"/>
        <v>Change Management and Agility</v>
      </c>
      <c r="F124" t="str">
        <f t="shared" si="4"/>
        <v>2.4.</v>
      </c>
    </row>
    <row r="125" spans="1:6" x14ac:dyDescent="0.25">
      <c r="A125" t="s">
        <v>35</v>
      </c>
      <c r="B125" s="493" t="str">
        <f>VLOOKUP(E125,source!$CZ$4:$DA$18,2,0)</f>
        <v>4</v>
      </c>
      <c r="E125" t="str">
        <f t="shared" si="3"/>
        <v>Resilience</v>
      </c>
      <c r="F125" t="str">
        <f t="shared" si="4"/>
        <v>3.1.</v>
      </c>
    </row>
    <row r="126" spans="1:6" x14ac:dyDescent="0.25">
      <c r="A126" t="s">
        <v>36</v>
      </c>
      <c r="B126" s="493" t="str">
        <f>VLOOKUP(E126,source!$CZ$4:$DA$18,2,0)</f>
        <v>2</v>
      </c>
      <c r="E126" t="str">
        <f t="shared" si="3"/>
        <v>Interoperability</v>
      </c>
      <c r="F126" t="str">
        <f t="shared" si="4"/>
        <v>3.2.</v>
      </c>
    </row>
    <row r="127" spans="1:6" x14ac:dyDescent="0.25">
      <c r="A127" t="s">
        <v>37</v>
      </c>
      <c r="B127" s="493" t="str">
        <f>VLOOKUP(E127,source!$CZ$4:$DA$18,2,0)</f>
        <v>2</v>
      </c>
      <c r="E127" t="str">
        <f t="shared" si="3"/>
        <v>Monitoring and Auditing</v>
      </c>
      <c r="F127" t="str">
        <f t="shared" si="4"/>
        <v>3.3.</v>
      </c>
    </row>
    <row r="128" spans="1:6" x14ac:dyDescent="0.25">
      <c r="A128" t="s">
        <v>38</v>
      </c>
      <c r="B128" s="493" t="str">
        <f>VLOOKUP(E128,source!$CZ$4:$DA$18,2,0)</f>
        <v>2</v>
      </c>
      <c r="E128" t="str">
        <f t="shared" si="3"/>
        <v>Automation</v>
      </c>
      <c r="F128" t="str">
        <f t="shared" si="4"/>
        <v>3.4.</v>
      </c>
    </row>
    <row r="129" spans="1:6" x14ac:dyDescent="0.25">
      <c r="A129" t="s">
        <v>39</v>
      </c>
      <c r="B129" s="493" t="str">
        <f>VLOOKUP(E129,source!$CZ$4:$DA$18,2,0)</f>
        <v>4</v>
      </c>
      <c r="E129" t="str">
        <f t="shared" si="3"/>
        <v>Sourcing</v>
      </c>
      <c r="F129" t="str">
        <f t="shared" si="4"/>
        <v>4.1.</v>
      </c>
    </row>
    <row r="130" spans="1:6" x14ac:dyDescent="0.25">
      <c r="A130" t="s">
        <v>40</v>
      </c>
      <c r="B130" s="493" t="str">
        <f>VLOOKUP(E130,source!$CZ$4:$DA$18,2,0)</f>
        <v>3</v>
      </c>
      <c r="E130" t="str">
        <f t="shared" si="3"/>
        <v>Knowledge and Training</v>
      </c>
      <c r="F130" t="str">
        <f t="shared" si="4"/>
        <v>4.2.</v>
      </c>
    </row>
    <row r="131" spans="1:6" x14ac:dyDescent="0.25">
      <c r="A131" t="s">
        <v>41</v>
      </c>
      <c r="B131" s="493" t="str">
        <f>VLOOKUP(E131,source!$CZ$4:$DA$18,2,0)</f>
        <v>3</v>
      </c>
      <c r="E131" t="str">
        <f t="shared" si="3"/>
        <v>Awareness</v>
      </c>
      <c r="F131" t="str">
        <f t="shared" si="4"/>
        <v>4.3.</v>
      </c>
    </row>
    <row r="133" spans="1:6" x14ac:dyDescent="0.25">
      <c r="A133" t="s">
        <v>300</v>
      </c>
    </row>
    <row r="134" spans="1:6" x14ac:dyDescent="0.25">
      <c r="A134" t="s">
        <v>322</v>
      </c>
      <c r="B134" t="s">
        <v>324</v>
      </c>
    </row>
    <row r="135" spans="1:6" x14ac:dyDescent="0.25">
      <c r="A135" t="s">
        <v>323</v>
      </c>
      <c r="B135" t="s">
        <v>325</v>
      </c>
    </row>
    <row r="138" spans="1:6" x14ac:dyDescent="0.25">
      <c r="A138" t="s">
        <v>341</v>
      </c>
    </row>
    <row r="139" spans="1:6" x14ac:dyDescent="0.25">
      <c r="A139" t="s">
        <v>343</v>
      </c>
      <c r="B139" t="s">
        <v>10</v>
      </c>
      <c r="C139" t="s">
        <v>342</v>
      </c>
      <c r="D139" t="s">
        <v>344</v>
      </c>
      <c r="E139" t="s">
        <v>345</v>
      </c>
    </row>
    <row r="140" spans="1:6" x14ac:dyDescent="0.25">
      <c r="A140" t="str">
        <f>VLOOKUP(B140,Assessment!C16:O186,13,0)</f>
        <v>Initial</v>
      </c>
      <c r="B140" t="str">
        <f>Scoping!I10</f>
        <v>1.1.1.</v>
      </c>
      <c r="C140" t="str">
        <f>Scoping!J10</f>
        <v>Organizational sponsor and support</v>
      </c>
    </row>
    <row r="141" spans="1:6" x14ac:dyDescent="0.25">
      <c r="A141" t="str">
        <f>VLOOKUP(B141,Assessment!C17:O187,13,0)</f>
        <v>Initial</v>
      </c>
      <c r="B141" t="str">
        <f>Scoping!I11</f>
        <v>1.1.2.</v>
      </c>
      <c r="C141" t="str">
        <f>Scoping!J11</f>
        <v>Formal assignment of responsible leadership</v>
      </c>
    </row>
    <row r="142" spans="1:6" x14ac:dyDescent="0.25">
      <c r="A142" t="str">
        <f>VLOOKUP(B142,Assessment!C18:O188,13,0)</f>
        <v>Initial</v>
      </c>
      <c r="B142" t="str">
        <f>Scoping!I12</f>
        <v>1.1.3.</v>
      </c>
      <c r="C142" t="str">
        <f>Scoping!J12</f>
        <v>Scope and business drivers for PKI</v>
      </c>
    </row>
    <row r="143" spans="1:6" x14ac:dyDescent="0.25">
      <c r="A143" t="str">
        <f>VLOOKUP(B143,Assessment!C19:O189,13,0)</f>
        <v>Initial</v>
      </c>
      <c r="B143" t="str">
        <f>Scoping!I13</f>
        <v>1.1.4.</v>
      </c>
      <c r="C143" t="str">
        <f>Scoping!J13</f>
        <v>Architecture and design of the PKI</v>
      </c>
    </row>
    <row r="144" spans="1:6" x14ac:dyDescent="0.25">
      <c r="A144" t="str">
        <f>VLOOKUP(B144,Assessment!C20:O190,13,0)</f>
        <v/>
      </c>
      <c r="B144" t="str">
        <f>Scoping!I14</f>
        <v>1.1.5.</v>
      </c>
      <c r="C144" t="str">
        <f>Scoping!J14</f>
        <v/>
      </c>
    </row>
    <row r="145" spans="1:3" x14ac:dyDescent="0.25">
      <c r="A145" t="str">
        <f>VLOOKUP(B145,Assessment!C21:O191,13,0)</f>
        <v/>
      </c>
      <c r="B145" t="str">
        <f>Scoping!I15</f>
        <v>1.1.6.</v>
      </c>
      <c r="C145" t="str">
        <f>Scoping!J15</f>
        <v/>
      </c>
    </row>
    <row r="146" spans="1:3" x14ac:dyDescent="0.25">
      <c r="A146" t="str">
        <f>VLOOKUP(B146,Assessment!C22:O192,13,0)</f>
        <v>Basic</v>
      </c>
      <c r="B146" t="str">
        <f>Scoping!I16</f>
        <v>1.2.1.</v>
      </c>
      <c r="C146" t="str">
        <f>Scoping!J16</f>
        <v>The scope of policies is defined and documented</v>
      </c>
    </row>
    <row r="147" spans="1:3" x14ac:dyDescent="0.25">
      <c r="A147" t="str">
        <f>VLOOKUP(B147,Assessment!C23:O193,13,0)</f>
        <v>Basic</v>
      </c>
      <c r="B147" t="str">
        <f>Scoping!I17</f>
        <v>1.2.2.</v>
      </c>
      <c r="C147" t="str">
        <f>Scoping!J17</f>
        <v>Certificate Policy is documented and published</v>
      </c>
    </row>
    <row r="148" spans="1:3" x14ac:dyDescent="0.25">
      <c r="A148" t="str">
        <f>VLOOKUP(B148,Assessment!C24:O194,13,0)</f>
        <v>Basic</v>
      </c>
      <c r="B148" t="str">
        <f>Scoping!I18</f>
        <v>1.2.3.</v>
      </c>
      <c r="C148" t="str">
        <f>Scoping!J18</f>
        <v>Certification Practice Statement is documented and published</v>
      </c>
    </row>
    <row r="149" spans="1:3" x14ac:dyDescent="0.25">
      <c r="A149" t="str">
        <f>VLOOKUP(B149,Assessment!C25:O195,13,0)</f>
        <v>Basic</v>
      </c>
      <c r="B149" t="str">
        <f>Scoping!I19</f>
        <v>1.2.4.</v>
      </c>
      <c r="C149" t="str">
        <f>Scoping!J19</f>
        <v>Disclosure statement is documented and published</v>
      </c>
    </row>
    <row r="150" spans="1:3" x14ac:dyDescent="0.25">
      <c r="A150" t="str">
        <f>VLOOKUP(B150,Assessment!C26:O196,13,0)</f>
        <v>Basic</v>
      </c>
      <c r="B150" t="str">
        <f>Scoping!I20</f>
        <v>1.2.5.</v>
      </c>
      <c r="C150" t="str">
        <f>Scoping!J20</f>
        <v>Policies are periodically reviewed and updated</v>
      </c>
    </row>
    <row r="151" spans="1:3" x14ac:dyDescent="0.25">
      <c r="A151" t="str">
        <f>VLOOKUP(B151,Assessment!C27:O197,13,0)</f>
        <v/>
      </c>
      <c r="B151" t="str">
        <f>Scoping!I21</f>
        <v>1.2.6.</v>
      </c>
      <c r="C151" t="str">
        <f>Scoping!J21</f>
        <v/>
      </c>
    </row>
    <row r="152" spans="1:3" x14ac:dyDescent="0.25">
      <c r="A152" t="str">
        <f>VLOOKUP(B152,Assessment!C28:O198,13,0)</f>
        <v>Basic</v>
      </c>
      <c r="B152" t="str">
        <f>Scoping!I22</f>
        <v>1.3.1.</v>
      </c>
      <c r="C152" t="str">
        <f>Scoping!J22</f>
        <v>Compliance policies are defined, implemented, and communicated</v>
      </c>
    </row>
    <row r="153" spans="1:3" x14ac:dyDescent="0.25">
      <c r="A153" t="str">
        <f>VLOOKUP(B153,Assessment!C29:O199,13,0)</f>
        <v>Basic</v>
      </c>
      <c r="B153" t="str">
        <f>Scoping!I23</f>
        <v>1.3.2.</v>
      </c>
      <c r="C153" t="str">
        <f>Scoping!J23</f>
        <v>A program to monitor compliance with the policies is established</v>
      </c>
    </row>
    <row r="154" spans="1:3" x14ac:dyDescent="0.25">
      <c r="A154" t="str">
        <f>VLOOKUP(B154,Assessment!C30:O200,13,0)</f>
        <v>Basic</v>
      </c>
      <c r="B154" t="str">
        <f>Scoping!I24</f>
        <v>1.3.3.</v>
      </c>
      <c r="C154" t="str">
        <f>Scoping!J24</f>
        <v>Responsibilities for the compliance are formally defined and assigned</v>
      </c>
    </row>
    <row r="155" spans="1:3" x14ac:dyDescent="0.25">
      <c r="A155" t="str">
        <f>VLOOKUP(B155,Assessment!C31:O201,13,0)</f>
        <v>Basic</v>
      </c>
      <c r="B155" t="str">
        <f>Scoping!I25</f>
        <v>1.3.4.</v>
      </c>
      <c r="C155" t="str">
        <f>Scoping!J25</f>
        <v>List of relevant laws, regulations, and standards, exist and is maintained</v>
      </c>
    </row>
    <row r="156" spans="1:3" x14ac:dyDescent="0.25">
      <c r="A156" t="str">
        <f>VLOOKUP(B156,Assessment!C32:O202,13,0)</f>
        <v/>
      </c>
      <c r="B156" t="str">
        <f>Scoping!I26</f>
        <v>1.3.5.</v>
      </c>
      <c r="C156" t="str">
        <f>Scoping!J26</f>
        <v/>
      </c>
    </row>
    <row r="157" spans="1:3" x14ac:dyDescent="0.25">
      <c r="A157" t="str">
        <f>VLOOKUP(B157,Assessment!C33:O203,13,0)</f>
        <v/>
      </c>
      <c r="B157" t="str">
        <f>Scoping!I27</f>
        <v>1.3.6.</v>
      </c>
      <c r="C157" t="str">
        <f>Scoping!J27</f>
        <v/>
      </c>
    </row>
    <row r="158" spans="1:3" x14ac:dyDescent="0.25">
      <c r="A158" t="str">
        <f>VLOOKUP(B158,Assessment!C34:O204,13,0)</f>
        <v>Advanced</v>
      </c>
      <c r="B158" t="str">
        <f>Scoping!I28</f>
        <v>1.4.1.</v>
      </c>
      <c r="C158" t="str">
        <f>Scoping!J28</f>
        <v>Scope of processes and procedure is aligned with policies</v>
      </c>
    </row>
    <row r="159" spans="1:3" x14ac:dyDescent="0.25">
      <c r="A159" t="str">
        <f>VLOOKUP(B159,Assessment!C35:O205,13,0)</f>
        <v>Advanced</v>
      </c>
      <c r="B159" t="str">
        <f>Scoping!I29</f>
        <v>1.4.2.</v>
      </c>
      <c r="C159" t="str">
        <f>Scoping!J29</f>
        <v>Processes and procedures are formally documented and followed</v>
      </c>
    </row>
    <row r="160" spans="1:3" x14ac:dyDescent="0.25">
      <c r="A160" t="str">
        <f>VLOOKUP(B160,Assessment!C36:O206,13,0)</f>
        <v>Optimized</v>
      </c>
      <c r="B160" t="str">
        <f>Scoping!I30</f>
        <v>1.4.3.</v>
      </c>
      <c r="C160" t="str">
        <f>Scoping!J30</f>
        <v>Recurring activities are executed on time</v>
      </c>
    </row>
    <row r="161" spans="1:3" x14ac:dyDescent="0.25">
      <c r="A161" t="str">
        <f>VLOOKUP(B161,Assessment!C37:O207,13,0)</f>
        <v>Advanced</v>
      </c>
      <c r="B161" t="str">
        <f>Scoping!I31</f>
        <v>1.4.4.</v>
      </c>
      <c r="C161" t="str">
        <f>Scoping!J31</f>
        <v>Evidence from procedures is collected and maintained</v>
      </c>
    </row>
    <row r="162" spans="1:3" x14ac:dyDescent="0.25">
      <c r="A162" t="str">
        <f>VLOOKUP(B162,Assessment!C38:O208,13,0)</f>
        <v>Managed</v>
      </c>
      <c r="B162" t="str">
        <f>Scoping!I32</f>
        <v>1.4.5.</v>
      </c>
      <c r="C162" t="str">
        <f>Scoping!J32</f>
        <v>Processes and procedures are reviewed and updated</v>
      </c>
    </row>
    <row r="163" spans="1:3" x14ac:dyDescent="0.25">
      <c r="A163" t="str">
        <f>VLOOKUP(B163,Assessment!C39:O209,13,0)</f>
        <v/>
      </c>
      <c r="B163" t="str">
        <f>Scoping!I33</f>
        <v>1.4.6.</v>
      </c>
      <c r="C163" t="str">
        <f>Scoping!J33</f>
        <v/>
      </c>
    </row>
    <row r="164" spans="1:3" x14ac:dyDescent="0.25">
      <c r="A164" t="str">
        <f>VLOOKUP(B164,Assessment!C40:O210,13,0)</f>
        <v>Advanced</v>
      </c>
      <c r="B164" t="str">
        <f>Scoping!I34</f>
        <v>2.1.1.</v>
      </c>
      <c r="C164" t="str">
        <f>Scoping!J34</f>
        <v>Key management roles and responsibilities are documented and formally assigned</v>
      </c>
    </row>
    <row r="165" spans="1:3" x14ac:dyDescent="0.25">
      <c r="A165" t="str">
        <f>VLOOKUP(B165,Assessment!C41:O211,13,0)</f>
        <v>Basic</v>
      </c>
      <c r="B165" t="str">
        <f>Scoping!I35</f>
        <v>2.1.2.</v>
      </c>
      <c r="C165" t="str">
        <f>Scoping!J35</f>
        <v>Inventory of cryptographic keys is documented and maintained</v>
      </c>
    </row>
    <row r="166" spans="1:3" x14ac:dyDescent="0.25">
      <c r="A166" t="str">
        <f>VLOOKUP(B166,Assessment!C42:O212,13,0)</f>
        <v>Managed</v>
      </c>
      <c r="B166" t="str">
        <f>Scoping!I36</f>
        <v>2.1.3.</v>
      </c>
      <c r="C166" t="str">
        <f>Scoping!J36</f>
        <v>Inventory of cryptographic devices is documented and maintained</v>
      </c>
    </row>
    <row r="167" spans="1:3" x14ac:dyDescent="0.25">
      <c r="A167" t="str">
        <f>VLOOKUP(B167,Assessment!C43:O213,13,0)</f>
        <v>Managed</v>
      </c>
      <c r="B167" t="str">
        <f>Scoping!I37</f>
        <v>2.1.4.</v>
      </c>
      <c r="C167" t="str">
        <f>Scoping!J37</f>
        <v>Each cryptographic key is defined and has documented lifecycle procedures</v>
      </c>
    </row>
    <row r="168" spans="1:3" x14ac:dyDescent="0.25">
      <c r="A168" t="str">
        <f>VLOOKUP(B168,Assessment!C44:O214,13,0)</f>
        <v>Basic</v>
      </c>
      <c r="B168" t="str">
        <f>Scoping!I38</f>
        <v>2.1.5.</v>
      </c>
      <c r="C168" t="str">
        <f>Scoping!J38</f>
        <v>Cryptographic cipher suites and protocols are documented and maintained</v>
      </c>
    </row>
    <row r="169" spans="1:3" x14ac:dyDescent="0.25">
      <c r="A169" t="str">
        <f>VLOOKUP(B169,Assessment!C45:O215,13,0)</f>
        <v>Managed</v>
      </c>
      <c r="B169" t="str">
        <f>Scoping!I39</f>
        <v>2.1.6.</v>
      </c>
      <c r="C169" t="str">
        <f>Scoping!J39</f>
        <v>Key management is periodically reviewed and updated</v>
      </c>
    </row>
    <row r="170" spans="1:3" x14ac:dyDescent="0.25">
      <c r="A170" t="str">
        <f>VLOOKUP(B170,Assessment!C46:O216,13,0)</f>
        <v>Managed</v>
      </c>
      <c r="B170" t="str">
        <f>Scoping!I40</f>
        <v>2.2.1.</v>
      </c>
      <c r="C170" t="str">
        <f>Scoping!J40</f>
        <v>Certificate profiles are documented</v>
      </c>
    </row>
    <row r="171" spans="1:3" x14ac:dyDescent="0.25">
      <c r="A171" t="str">
        <f>VLOOKUP(B171,Assessment!C47:O217,13,0)</f>
        <v>Optimized</v>
      </c>
      <c r="B171" t="str">
        <f>Scoping!I41</f>
        <v>2.2.2.</v>
      </c>
      <c r="C171" t="str">
        <f>Scoping!J41</f>
        <v>Certificate cipher suites are documented</v>
      </c>
    </row>
    <row r="172" spans="1:3" x14ac:dyDescent="0.25">
      <c r="A172" t="str">
        <f>VLOOKUP(B172,Assessment!C48:O218,13,0)</f>
        <v>Basic</v>
      </c>
      <c r="B172" t="str">
        <f>Scoping!I42</f>
        <v>2.2.3.</v>
      </c>
      <c r="C172" t="str">
        <f>Scoping!J42</f>
        <v>Certificate lifecycle management is documented</v>
      </c>
    </row>
    <row r="173" spans="1:3" x14ac:dyDescent="0.25">
      <c r="A173" t="str">
        <f>VLOOKUP(B173,Assessment!C49:O219,13,0)</f>
        <v>Initial</v>
      </c>
      <c r="B173" t="str">
        <f>Scoping!I43</f>
        <v>2.2.4.</v>
      </c>
      <c r="C173" t="str">
        <f>Scoping!J43</f>
        <v>Inventory of issued certificates is documented</v>
      </c>
    </row>
    <row r="174" spans="1:3" x14ac:dyDescent="0.25">
      <c r="A174" t="str">
        <f>VLOOKUP(B174,Assessment!C50:O220,13,0)</f>
        <v>Basic</v>
      </c>
      <c r="B174" t="str">
        <f>Scoping!I44</f>
        <v>2.2.5.</v>
      </c>
      <c r="C174" t="str">
        <f>Scoping!J44</f>
        <v>Certificate discovery process is documented</v>
      </c>
    </row>
    <row r="175" spans="1:3" x14ac:dyDescent="0.25">
      <c r="A175" t="str">
        <f>VLOOKUP(B175,Assessment!C51:O221,13,0)</f>
        <v>Advanced</v>
      </c>
      <c r="B175" t="str">
        <f>Scoping!I45</f>
        <v>2.2.6.</v>
      </c>
      <c r="C175" t="str">
        <f>Scoping!J45</f>
        <v>Certificate management is periodically reviewed and updated</v>
      </c>
    </row>
    <row r="176" spans="1:3" x14ac:dyDescent="0.25">
      <c r="A176" t="str">
        <f>VLOOKUP(B176,Assessment!C52:O222,13,0)</f>
        <v>Basic</v>
      </c>
      <c r="B176" t="str">
        <f>Scoping!I46</f>
        <v>2.2.7.</v>
      </c>
      <c r="C176" t="str">
        <f>Scoping!J46</f>
        <v>Organizational PKI governance</v>
      </c>
    </row>
    <row r="177" spans="1:3" x14ac:dyDescent="0.25">
      <c r="A177" t="str">
        <f>VLOOKUP(B177,Assessment!C53:O223,13,0)</f>
        <v>Managed</v>
      </c>
      <c r="B177" t="str">
        <f>Scoping!I47</f>
        <v>2.3.1.</v>
      </c>
      <c r="C177" t="str">
        <f>Scoping!J47</f>
        <v>Network and deployment infrastructure is documented</v>
      </c>
    </row>
    <row r="178" spans="1:3" x14ac:dyDescent="0.25">
      <c r="A178" t="str">
        <f>VLOOKUP(B178,Assessment!C54:O224,13,0)</f>
        <v>Basic</v>
      </c>
      <c r="B178" t="str">
        <f>Scoping!I48</f>
        <v>2.3.2.</v>
      </c>
      <c r="C178" t="str">
        <f>Scoping!J48</f>
        <v>Separation and segmentation principles are applied</v>
      </c>
    </row>
    <row r="179" spans="1:3" x14ac:dyDescent="0.25">
      <c r="A179" t="str">
        <f>VLOOKUP(B179,Assessment!C55:O225,13,0)</f>
        <v>Advanced</v>
      </c>
      <c r="B179" t="str">
        <f>Scoping!I49</f>
        <v>2.3.3.</v>
      </c>
      <c r="C179" t="str">
        <f>Scoping!J49</f>
        <v>Network vulnerability management is implemented and maintained</v>
      </c>
    </row>
    <row r="180" spans="1:3" x14ac:dyDescent="0.25">
      <c r="A180" t="str">
        <f>VLOOKUP(B180,Assessment!C56:O226,13,0)</f>
        <v>Basic</v>
      </c>
      <c r="B180" t="str">
        <f>Scoping!I50</f>
        <v>2.3.4.</v>
      </c>
      <c r="C180" t="str">
        <f>Scoping!J50</f>
        <v>Infrastructure recovery objectives controls</v>
      </c>
    </row>
    <row r="181" spans="1:3" x14ac:dyDescent="0.25">
      <c r="A181" t="str">
        <f>VLOOKUP(B181,Assessment!C57:O227,13,0)</f>
        <v>Managed</v>
      </c>
      <c r="B181" t="str">
        <f>Scoping!I51</f>
        <v>2.3.5.</v>
      </c>
      <c r="C181" t="str">
        <f>Scoping!J51</f>
        <v>Infrastructure activities are periodically reviewed</v>
      </c>
    </row>
    <row r="182" spans="1:3" x14ac:dyDescent="0.25">
      <c r="A182" t="str">
        <f>VLOOKUP(B182,Assessment!C58:O228,13,0)</f>
        <v/>
      </c>
      <c r="B182" t="str">
        <f>Scoping!I52</f>
        <v>2.3.6.</v>
      </c>
      <c r="C182" t="str">
        <f>Scoping!J52</f>
        <v/>
      </c>
    </row>
    <row r="183" spans="1:3" x14ac:dyDescent="0.25">
      <c r="A183" t="str">
        <f>VLOOKUP(B183,Assessment!C59:O229,13,0)</f>
        <v>Basic</v>
      </c>
      <c r="B183" t="str">
        <f>Scoping!I53</f>
        <v>2.4.1.</v>
      </c>
      <c r="C183" t="str">
        <f>Scoping!J53</f>
        <v>The policy for change management and agility is documented</v>
      </c>
    </row>
    <row r="184" spans="1:3" x14ac:dyDescent="0.25">
      <c r="A184" t="str">
        <f>VLOOKUP(B184,Assessment!C60:O230,13,0)</f>
        <v>Managed</v>
      </c>
      <c r="B184" t="str">
        <f>Scoping!I54</f>
        <v>2.4.2.</v>
      </c>
      <c r="C184" t="str">
        <f>Scoping!J54</f>
        <v>Request for change structure is documented and followed</v>
      </c>
    </row>
    <row r="185" spans="1:3" x14ac:dyDescent="0.25">
      <c r="A185" t="str">
        <f>VLOOKUP(B185,Assessment!C61:O231,13,0)</f>
        <v>Basic</v>
      </c>
      <c r="B185" t="str">
        <f>Scoping!I55</f>
        <v>2.4.3.</v>
      </c>
      <c r="C185" t="str">
        <f>Scoping!J55</f>
        <v>The change management process is documented and implemented</v>
      </c>
    </row>
    <row r="186" spans="1:3" x14ac:dyDescent="0.25">
      <c r="A186" t="str">
        <f>VLOOKUP(B186,Assessment!C62:O232,13,0)</f>
        <v>Advanced</v>
      </c>
      <c r="B186" t="str">
        <f>Scoping!I56</f>
        <v>2.4.4.</v>
      </c>
      <c r="C186" t="str">
        <f>Scoping!J56</f>
        <v>Requirements for agility are identified</v>
      </c>
    </row>
    <row r="187" spans="1:3" x14ac:dyDescent="0.25">
      <c r="A187" t="str">
        <f>VLOOKUP(B187,Assessment!C63:O233,13,0)</f>
        <v>Advanced</v>
      </c>
      <c r="B187" t="str">
        <f>Scoping!I57</f>
        <v>2.4.5.</v>
      </c>
      <c r="C187" t="str">
        <f>Scoping!J57</f>
        <v>Change management and agility is periodically reviewed</v>
      </c>
    </row>
    <row r="188" spans="1:3" x14ac:dyDescent="0.25">
      <c r="A188" t="str">
        <f>VLOOKUP(B188,Assessment!C64:O234,13,0)</f>
        <v/>
      </c>
      <c r="B188" t="str">
        <f>Scoping!I58</f>
        <v>2.4.6.</v>
      </c>
      <c r="C188" t="str">
        <f>Scoping!J58</f>
        <v/>
      </c>
    </row>
    <row r="189" spans="1:3" x14ac:dyDescent="0.25">
      <c r="A189" t="str">
        <f>VLOOKUP(B189,Assessment!C65:O235,13,0)</f>
        <v>Optimized</v>
      </c>
      <c r="B189" t="str">
        <f>Scoping!I59</f>
        <v>3.1.1.</v>
      </c>
      <c r="C189" t="str">
        <f>Scoping!J59</f>
        <v>Risk assessment and business impact analysis</v>
      </c>
    </row>
    <row r="190" spans="1:3" x14ac:dyDescent="0.25">
      <c r="A190" t="str">
        <f>VLOOKUP(B190,Assessment!C66:O236,13,0)</f>
        <v>Advanced</v>
      </c>
      <c r="B190" t="str">
        <f>Scoping!I60</f>
        <v>3.1.2.</v>
      </c>
      <c r="C190" t="str">
        <f>Scoping!J60</f>
        <v>Cyber-security management and incident planning</v>
      </c>
    </row>
    <row r="191" spans="1:3" x14ac:dyDescent="0.25">
      <c r="A191" t="str">
        <f>VLOOKUP(B191,Assessment!C67:O237,13,0)</f>
        <v>Managed</v>
      </c>
      <c r="B191" t="str">
        <f>Scoping!I61</f>
        <v>3.1.3.</v>
      </c>
      <c r="C191" t="str">
        <f>Scoping!J61</f>
        <v>Business continuity planning and disaster recovery</v>
      </c>
    </row>
    <row r="192" spans="1:3" x14ac:dyDescent="0.25">
      <c r="A192" t="str">
        <f>VLOOKUP(B192,Assessment!C68:O238,13,0)</f>
        <v>Managed</v>
      </c>
      <c r="B192" t="str">
        <f>Scoping!I62</f>
        <v>3.1.4.</v>
      </c>
      <c r="C192" t="str">
        <f>Scoping!J62</f>
        <v>Technology future proofing</v>
      </c>
    </row>
    <row r="193" spans="1:3" x14ac:dyDescent="0.25">
      <c r="A193" t="str">
        <f>VLOOKUP(B193,Assessment!C69:O239,13,0)</f>
        <v>Initial</v>
      </c>
      <c r="B193" t="str">
        <f>Scoping!I63</f>
        <v>3.1.5.</v>
      </c>
      <c r="C193" t="str">
        <f>Scoping!J63</f>
        <v>Competence and information sharing</v>
      </c>
    </row>
    <row r="194" spans="1:3" x14ac:dyDescent="0.25">
      <c r="A194" t="str">
        <f>VLOOKUP(B194,Assessment!C70:O240,13,0)</f>
        <v>Advanced</v>
      </c>
      <c r="B194" t="str">
        <f>Scoping!I64</f>
        <v>3.1.6.</v>
      </c>
      <c r="C194" t="str">
        <f>Scoping!J64</f>
        <v>Continual review and improvement</v>
      </c>
    </row>
    <row r="195" spans="1:3" x14ac:dyDescent="0.25">
      <c r="A195" t="str">
        <f>VLOOKUP(B195,Assessment!C71:O241,13,0)</f>
        <v>Advanced</v>
      </c>
      <c r="B195" t="str">
        <f>Scoping!I65</f>
        <v>3.2.1.</v>
      </c>
      <c r="C195" t="str">
        <f>Scoping!J65</f>
        <v>Maintain PKI interoperability strategy</v>
      </c>
    </row>
    <row r="196" spans="1:3" x14ac:dyDescent="0.25">
      <c r="A196" t="str">
        <f>VLOOKUP(B196,Assessment!C72:O242,13,0)</f>
        <v>Advanced</v>
      </c>
      <c r="B196" t="str">
        <f>Scoping!I66</f>
        <v>3.2.2.</v>
      </c>
      <c r="C196" t="str">
        <f>Scoping!J66</f>
        <v>Documented integration guidance</v>
      </c>
    </row>
    <row r="197" spans="1:3" x14ac:dyDescent="0.25">
      <c r="A197" t="str">
        <f>VLOOKUP(B197,Assessment!C73:O243,13,0)</f>
        <v>Managed</v>
      </c>
      <c r="B197" t="str">
        <f>Scoping!I67</f>
        <v>3.2.3.</v>
      </c>
      <c r="C197" t="str">
        <f>Scoping!J67</f>
        <v>Adoption and application of open standards</v>
      </c>
    </row>
    <row r="198" spans="1:3" x14ac:dyDescent="0.25">
      <c r="A198" t="str">
        <f>VLOOKUP(B198,Assessment!C74:O244,13,0)</f>
        <v/>
      </c>
      <c r="B198" t="str">
        <f>Scoping!I68</f>
        <v>3.2.4.</v>
      </c>
      <c r="C198" t="str">
        <f>Scoping!J68</f>
        <v/>
      </c>
    </row>
    <row r="199" spans="1:3" x14ac:dyDescent="0.25">
      <c r="A199" t="str">
        <f>VLOOKUP(B199,Assessment!C75:O245,13,0)</f>
        <v/>
      </c>
      <c r="B199" t="str">
        <f>Scoping!I69</f>
        <v>3.2.5.</v>
      </c>
      <c r="C199" t="str">
        <f>Scoping!J69</f>
        <v/>
      </c>
    </row>
    <row r="200" spans="1:3" x14ac:dyDescent="0.25">
      <c r="A200" t="str">
        <f>VLOOKUP(B200,Assessment!C76:O246,13,0)</f>
        <v/>
      </c>
      <c r="B200" t="str">
        <f>Scoping!I70</f>
        <v>3.2.6.</v>
      </c>
      <c r="C200" t="str">
        <f>Scoping!J70</f>
        <v/>
      </c>
    </row>
    <row r="201" spans="1:3" x14ac:dyDescent="0.25">
      <c r="A201" t="str">
        <f>VLOOKUP(B201,Assessment!C77:O247,13,0)</f>
        <v>Advanced</v>
      </c>
      <c r="B201" t="str">
        <f>Scoping!I71</f>
        <v>3.3.1.</v>
      </c>
      <c r="C201" t="str">
        <f>Scoping!J71</f>
        <v>Monitoring events and logging requirements are defined and documented</v>
      </c>
    </row>
    <row r="202" spans="1:3" x14ac:dyDescent="0.25">
      <c r="A202" t="str">
        <f>VLOOKUP(B202,Assessment!C78:O248,13,0)</f>
        <v>Advanced</v>
      </c>
      <c r="B202" t="str">
        <f>Scoping!I72</f>
        <v>3.3.2.</v>
      </c>
      <c r="C202" t="str">
        <f>Scoping!J72</f>
        <v>Event logs from systems are collected</v>
      </c>
    </row>
    <row r="203" spans="1:3" x14ac:dyDescent="0.25">
      <c r="A203" t="str">
        <f>VLOOKUP(B203,Assessment!C79:O249,13,0)</f>
        <v>Advanced</v>
      </c>
      <c r="B203" t="str">
        <f>Scoping!I73</f>
        <v>3.3.3.</v>
      </c>
      <c r="C203" t="str">
        <f>Scoping!J73</f>
        <v>Audit trail can be reconstructed from audit logs</v>
      </c>
    </row>
    <row r="204" spans="1:3" x14ac:dyDescent="0.25">
      <c r="A204" t="str">
        <f>VLOOKUP(B204,Assessment!C80:O250,13,0)</f>
        <v>Advanced</v>
      </c>
      <c r="B204" t="str">
        <f>Scoping!I74</f>
        <v>3.3.4.</v>
      </c>
      <c r="C204" t="str">
        <f>Scoping!J74</f>
        <v>Monitoring of operational and security events is implemented</v>
      </c>
    </row>
    <row r="205" spans="1:3" x14ac:dyDescent="0.25">
      <c r="A205" t="str">
        <f>VLOOKUP(B205,Assessment!C81:O251,13,0)</f>
        <v>Advanced</v>
      </c>
      <c r="B205" t="str">
        <f>Scoping!I75</f>
        <v>3.3.5.</v>
      </c>
      <c r="C205" t="str">
        <f>Scoping!J75</f>
        <v>Critical events are immediately alerted and resolved according to incident response plans</v>
      </c>
    </row>
    <row r="206" spans="1:3" x14ac:dyDescent="0.25">
      <c r="A206" t="str">
        <f>VLOOKUP(B206,Assessment!C82:O252,13,0)</f>
        <v>Advanced</v>
      </c>
      <c r="B206" t="str">
        <f>Scoping!I76</f>
        <v>3.3.6.</v>
      </c>
      <c r="C206" t="str">
        <f>Scoping!J76</f>
        <v>Review of events and logs is periodically performed</v>
      </c>
    </row>
    <row r="207" spans="1:3" x14ac:dyDescent="0.25">
      <c r="A207" t="str">
        <f>VLOOKUP(B207,Assessment!C83:O253,13,0)</f>
        <v>Basic</v>
      </c>
      <c r="B207" t="str">
        <f>Scoping!I77</f>
        <v>3.4.1.</v>
      </c>
      <c r="C207" t="str">
        <f>Scoping!J77</f>
        <v>Process automation description</v>
      </c>
    </row>
    <row r="208" spans="1:3" x14ac:dyDescent="0.25">
      <c r="A208" t="str">
        <f>VLOOKUP(B208,Assessment!C84:O254,13,0)</f>
        <v>Managed</v>
      </c>
      <c r="B208" t="str">
        <f>Scoping!I78</f>
        <v>3.4.2.</v>
      </c>
      <c r="C208" t="str">
        <f>Scoping!J78</f>
        <v>Monitoring and auditing of automated process</v>
      </c>
    </row>
    <row r="209" spans="1:3" x14ac:dyDescent="0.25">
      <c r="A209" t="str">
        <f>VLOOKUP(B209,Assessment!C85:O255,13,0)</f>
        <v>Basic</v>
      </c>
      <c r="B209" t="str">
        <f>Scoping!I79</f>
        <v>3.4.3.</v>
      </c>
      <c r="C209" t="str">
        <f>Scoping!J79</f>
        <v>Incidents and exceptions handling</v>
      </c>
    </row>
    <row r="210" spans="1:3" x14ac:dyDescent="0.25">
      <c r="A210" t="str">
        <f>VLOOKUP(B210,Assessment!C86:O256,13,0)</f>
        <v/>
      </c>
      <c r="B210" t="str">
        <f>Scoping!I80</f>
        <v>3.4.4.</v>
      </c>
      <c r="C210" t="str">
        <f>Scoping!J80</f>
        <v/>
      </c>
    </row>
    <row r="211" spans="1:3" x14ac:dyDescent="0.25">
      <c r="A211" t="str">
        <f>VLOOKUP(B211,Assessment!C87:O257,13,0)</f>
        <v/>
      </c>
      <c r="B211" t="str">
        <f>Scoping!I81</f>
        <v>3.4.5.</v>
      </c>
      <c r="C211" t="str">
        <f>Scoping!J81</f>
        <v/>
      </c>
    </row>
    <row r="212" spans="1:3" x14ac:dyDescent="0.25">
      <c r="A212" t="str">
        <f>VLOOKUP(B212,Assessment!C88:O258,13,0)</f>
        <v/>
      </c>
      <c r="B212" t="str">
        <f>Scoping!I82</f>
        <v>3.4.6.</v>
      </c>
      <c r="C212" t="str">
        <f>Scoping!J82</f>
        <v/>
      </c>
    </row>
    <row r="213" spans="1:3" x14ac:dyDescent="0.25">
      <c r="A213" t="str">
        <f>VLOOKUP(B213,Assessment!C89:O259,13,0)</f>
        <v>Initial</v>
      </c>
      <c r="B213" t="str">
        <f>Scoping!I83</f>
        <v>4.1.1.</v>
      </c>
      <c r="C213" t="str">
        <f>Scoping!J83</f>
        <v>Resources are identified and documented</v>
      </c>
    </row>
    <row r="214" spans="1:3" x14ac:dyDescent="0.25">
      <c r="A214" t="str">
        <f>VLOOKUP(B214,Assessment!C90:O260,13,0)</f>
        <v>Optimized</v>
      </c>
      <c r="B214" t="str">
        <f>Scoping!I84</f>
        <v>4.1.2.</v>
      </c>
      <c r="C214" t="str">
        <f>Scoping!J84</f>
        <v>Resources are clearly defined</v>
      </c>
    </row>
    <row r="215" spans="1:3" x14ac:dyDescent="0.25">
      <c r="A215" t="str">
        <f>VLOOKUP(B215,Assessment!C91:O261,13,0)</f>
        <v>Optimized</v>
      </c>
      <c r="B215" t="str">
        <f>Scoping!I85</f>
        <v>4.1.3.</v>
      </c>
      <c r="C215" t="str">
        <f>Scoping!J85</f>
        <v>Availability of resources</v>
      </c>
    </row>
    <row r="216" spans="1:3" x14ac:dyDescent="0.25">
      <c r="A216" t="str">
        <f>VLOOKUP(B216,Assessment!C92:O262,13,0)</f>
        <v>Optimized</v>
      </c>
      <c r="B216" t="str">
        <f>Scoping!I86</f>
        <v>4.1.4.</v>
      </c>
      <c r="C216" t="str">
        <f>Scoping!J86</f>
        <v>Resources are periodically reviewed</v>
      </c>
    </row>
    <row r="217" spans="1:3" x14ac:dyDescent="0.25">
      <c r="A217" t="str">
        <f>VLOOKUP(B217,Assessment!C93:O263,13,0)</f>
        <v>Managed</v>
      </c>
      <c r="B217" t="str">
        <f>Scoping!I87</f>
        <v>4.2.1.</v>
      </c>
      <c r="C217" t="str">
        <f>Scoping!J87</f>
        <v>Establish training plan</v>
      </c>
    </row>
    <row r="218" spans="1:3" x14ac:dyDescent="0.25">
      <c r="A218" t="str">
        <f>VLOOKUP(B218,Assessment!C94:O264,13,0)</f>
        <v>Managed</v>
      </c>
      <c r="B218" t="str">
        <f>Scoping!I88</f>
        <v>4.2.2.</v>
      </c>
      <c r="C218" t="str">
        <f>Scoping!J88</f>
        <v>Responsible personnel receive training</v>
      </c>
    </row>
    <row r="219" spans="1:3" x14ac:dyDescent="0.25">
      <c r="A219" t="str">
        <f>VLOOKUP(B219,Assessment!C95:O265,13,0)</f>
        <v>Optimized</v>
      </c>
      <c r="B219" t="str">
        <f>Scoping!I89</f>
        <v>4.2.3.</v>
      </c>
      <c r="C219" t="str">
        <f>Scoping!J89</f>
        <v>Perform security awareness training</v>
      </c>
    </row>
    <row r="220" spans="1:3" x14ac:dyDescent="0.25">
      <c r="A220" t="str">
        <f>VLOOKUP(B220,Assessment!C96:O266,13,0)</f>
        <v>Managed</v>
      </c>
      <c r="B220" t="str">
        <f>Scoping!I90</f>
        <v>4.2.4.</v>
      </c>
      <c r="C220" t="str">
        <f>Scoping!J90</f>
        <v>Establish education plan</v>
      </c>
    </row>
    <row r="221" spans="1:3" x14ac:dyDescent="0.25">
      <c r="A221" t="str">
        <f>VLOOKUP(B221,Assessment!C97:O267,13,0)</f>
        <v>Managed</v>
      </c>
      <c r="B221" t="str">
        <f>Scoping!I91</f>
        <v>4.2.5.</v>
      </c>
      <c r="C221" t="str">
        <f>Scoping!J91</f>
        <v>Periodically review knowledge</v>
      </c>
    </row>
    <row r="222" spans="1:3" x14ac:dyDescent="0.25">
      <c r="A222" t="str">
        <f>VLOOKUP(B222,Assessment!C98:O268,13,0)</f>
        <v>Basic</v>
      </c>
      <c r="B222" t="str">
        <f>Scoping!I92</f>
        <v>4.3.1.</v>
      </c>
      <c r="C222" t="str">
        <f>Scoping!J92</f>
        <v>Establish and maintain awareness plan</v>
      </c>
    </row>
    <row r="223" spans="1:3" x14ac:dyDescent="0.25">
      <c r="A223" t="str">
        <f>VLOOKUP(B223,Assessment!C99:O269,13,0)</f>
        <v>Managed</v>
      </c>
      <c r="B223" t="str">
        <f>Scoping!I93</f>
        <v>4.3.2.</v>
      </c>
      <c r="C223" t="str">
        <f>Scoping!J93</f>
        <v>Disclose PKI information</v>
      </c>
    </row>
    <row r="224" spans="1:3" x14ac:dyDescent="0.25">
      <c r="A224" t="str">
        <f>VLOOKUP(B224,Assessment!C100:O270,13,0)</f>
        <v>Managed</v>
      </c>
      <c r="B224" t="str">
        <f>Scoping!I94</f>
        <v>4.3.3.</v>
      </c>
      <c r="C224" t="str">
        <f>Scoping!J94</f>
        <v>Establish single point of contact</v>
      </c>
    </row>
    <row r="225" spans="1:3" x14ac:dyDescent="0.25">
      <c r="A225" t="str">
        <f>VLOOKUP(B225,Assessment!C101:O271,13,0)</f>
        <v>Advanced</v>
      </c>
      <c r="B225" t="str">
        <f>Scoping!I95</f>
        <v>4.3.4.</v>
      </c>
      <c r="C225" t="str">
        <f>Scoping!J95</f>
        <v>Timely communication of important information</v>
      </c>
    </row>
    <row r="228" spans="1:3" x14ac:dyDescent="0.25">
      <c r="A228" s="1" t="s">
        <v>284</v>
      </c>
    </row>
    <row r="229" spans="1:3" x14ac:dyDescent="0.25">
      <c r="A229" t="s">
        <v>283</v>
      </c>
    </row>
    <row r="230" spans="1:3" x14ac:dyDescent="0.25">
      <c r="A230" t="s">
        <v>347</v>
      </c>
    </row>
    <row r="232" spans="1:3" x14ac:dyDescent="0.25">
      <c r="A232" s="1" t="s">
        <v>211</v>
      </c>
    </row>
    <row r="233" spans="1:3" x14ac:dyDescent="0.25">
      <c r="A233" t="s">
        <v>409</v>
      </c>
    </row>
    <row r="234" spans="1:3" x14ac:dyDescent="0.25">
      <c r="A234" t="s">
        <v>195</v>
      </c>
    </row>
    <row r="235" spans="1:3" x14ac:dyDescent="0.25">
      <c r="A235" t="s">
        <v>201</v>
      </c>
    </row>
    <row r="238" spans="1:3" x14ac:dyDescent="0.25">
      <c r="A238" s="1" t="s">
        <v>414</v>
      </c>
    </row>
    <row r="239" spans="1:3" x14ac:dyDescent="0.25">
      <c r="A239" s="1" t="s">
        <v>18</v>
      </c>
      <c r="B239" t="str">
        <f>VLOOKUP(A239,ActionPlans!$B$14:$F$34,5,0)</f>
        <v>Initial</v>
      </c>
    </row>
    <row r="240" spans="1:3" x14ac:dyDescent="0.25">
      <c r="A240" t="str" cm="1">
        <f t="array" ref="A240:A243">IF(B239="N/A","",_xlfn._xlws.FILTER($A$13:$A$17,$B$13:$B$17&gt;VLOOKUP(A239,ActionPlans!$B$14:$G$34,6,0),""))</f>
        <v>Basic</v>
      </c>
    </row>
    <row r="241" spans="1:2" x14ac:dyDescent="0.25">
      <c r="A241" t="str">
        <v>Advanced</v>
      </c>
    </row>
    <row r="242" spans="1:2" x14ac:dyDescent="0.25">
      <c r="A242" t="str">
        <v>Managed</v>
      </c>
    </row>
    <row r="243" spans="1:2" x14ac:dyDescent="0.25">
      <c r="A243" t="str">
        <v>Optimized</v>
      </c>
    </row>
    <row r="245" spans="1:2" x14ac:dyDescent="0.25">
      <c r="A245" s="1" t="s">
        <v>19</v>
      </c>
      <c r="B245" t="str">
        <f>VLOOKUP(A245,ActionPlans!$B$14:$F$34,5,0)</f>
        <v>Basic</v>
      </c>
    </row>
    <row r="246" spans="1:2" x14ac:dyDescent="0.25">
      <c r="A246" t="str" cm="1">
        <f t="array" ref="A246:A248">IF(B245="N/A","",_xlfn._xlws.FILTER($A$13:$A$17,$B$13:$B$17&gt;VLOOKUP(A245,ActionPlans!$B$14:$G$34,6,0),""))</f>
        <v>Advanced</v>
      </c>
    </row>
    <row r="247" spans="1:2" x14ac:dyDescent="0.25">
      <c r="A247" t="str">
        <v>Managed</v>
      </c>
    </row>
    <row r="248" spans="1:2" x14ac:dyDescent="0.25">
      <c r="A248" t="str">
        <v>Optimized</v>
      </c>
    </row>
    <row r="251" spans="1:2" x14ac:dyDescent="0.25">
      <c r="A251" s="1" t="s">
        <v>20</v>
      </c>
      <c r="B251" t="str">
        <f>VLOOKUP(A251,ActionPlans!$B$14:$F$34,5,0)</f>
        <v>Basic</v>
      </c>
    </row>
    <row r="252" spans="1:2" x14ac:dyDescent="0.25">
      <c r="A252" t="str" cm="1">
        <f t="array" ref="A252:A254">IF(B251="N/A","",_xlfn._xlws.FILTER($A$13:$A$17,$B$13:$B$17&gt;VLOOKUP(A251,ActionPlans!$B$14:$G$34,6,0),""))</f>
        <v>Advanced</v>
      </c>
    </row>
    <row r="253" spans="1:2" x14ac:dyDescent="0.25">
      <c r="A253" t="str">
        <v>Managed</v>
      </c>
    </row>
    <row r="254" spans="1:2" x14ac:dyDescent="0.25">
      <c r="A254" t="str">
        <v>Optimized</v>
      </c>
    </row>
    <row r="257" spans="1:2" x14ac:dyDescent="0.25">
      <c r="A257" s="1" t="s">
        <v>21</v>
      </c>
      <c r="B257" t="str">
        <f>VLOOKUP(A257,ActionPlans!$B$14:$F$34,5,0)</f>
        <v>Advanced</v>
      </c>
    </row>
    <row r="258" spans="1:2" x14ac:dyDescent="0.25">
      <c r="A258" t="str" cm="1">
        <f t="array" ref="A258:A259">IF(B257="N/A","",_xlfn._xlws.FILTER($A$13:$A$17,$B$13:$B$17&gt;VLOOKUP(A257,ActionPlans!$B$14:$G$34,6,0),""))</f>
        <v>Managed</v>
      </c>
    </row>
    <row r="259" spans="1:2" x14ac:dyDescent="0.25">
      <c r="A259" t="str">
        <v>Optimized</v>
      </c>
    </row>
    <row r="263" spans="1:2" x14ac:dyDescent="0.25">
      <c r="A263" s="1" t="s">
        <v>31</v>
      </c>
      <c r="B263" t="str">
        <f>VLOOKUP(A263,ActionPlans!$B$14:$F$34,5,0)</f>
        <v>Advanced</v>
      </c>
    </row>
    <row r="264" spans="1:2" x14ac:dyDescent="0.25">
      <c r="A264" t="str" cm="1">
        <f t="array" ref="A264:A265">IF(B263="N/A","",_xlfn._xlws.FILTER($A$13:$A$17,$B$13:$B$17&gt;VLOOKUP(A263,ActionPlans!$B$14:$G$34,6,0),""))</f>
        <v>Managed</v>
      </c>
    </row>
    <row r="265" spans="1:2" x14ac:dyDescent="0.25">
      <c r="A265" t="str">
        <v>Optimized</v>
      </c>
    </row>
    <row r="269" spans="1:2" x14ac:dyDescent="0.25">
      <c r="A269" s="1" t="s">
        <v>32</v>
      </c>
      <c r="B269" t="str">
        <f>VLOOKUP(A269,ActionPlans!$B$14:$F$34,5,0)</f>
        <v>Basic</v>
      </c>
    </row>
    <row r="270" spans="1:2" x14ac:dyDescent="0.25">
      <c r="A270" t="str" cm="1">
        <f t="array" ref="A270:A272">IF(B269="N/A","",_xlfn._xlws.FILTER($A$13:$A$17,$B$13:$B$17&gt;VLOOKUP(A269,ActionPlans!$B$14:$G$34,6,0),""))</f>
        <v>Advanced</v>
      </c>
    </row>
    <row r="271" spans="1:2" x14ac:dyDescent="0.25">
      <c r="A271" t="str">
        <v>Managed</v>
      </c>
    </row>
    <row r="272" spans="1:2" x14ac:dyDescent="0.25">
      <c r="A272" t="str">
        <v>Optimized</v>
      </c>
    </row>
    <row r="275" spans="1:2" x14ac:dyDescent="0.25">
      <c r="A275" s="1" t="s">
        <v>33</v>
      </c>
      <c r="B275" t="str">
        <f>VLOOKUP(A275,ActionPlans!$B$14:$F$34,5,0)</f>
        <v>Advanced</v>
      </c>
    </row>
    <row r="276" spans="1:2" x14ac:dyDescent="0.25">
      <c r="A276" t="str" cm="1">
        <f t="array" ref="A276:A277">IF(B275="N/A","",_xlfn._xlws.FILTER($A$13:$A$17,$B$13:$B$17&gt;VLOOKUP(A275,ActionPlans!$B$14:$G$34,6,0),""))</f>
        <v>Managed</v>
      </c>
    </row>
    <row r="277" spans="1:2" x14ac:dyDescent="0.25">
      <c r="A277" t="str">
        <v>Optimized</v>
      </c>
    </row>
    <row r="281" spans="1:2" x14ac:dyDescent="0.25">
      <c r="A281" s="1" t="s">
        <v>34</v>
      </c>
      <c r="B281" t="str">
        <f>VLOOKUP(A281,ActionPlans!$B$14:$F$34,5,0)</f>
        <v>Basic</v>
      </c>
    </row>
    <row r="282" spans="1:2" x14ac:dyDescent="0.25">
      <c r="A282" t="str" cm="1">
        <f t="array" ref="A282:A284">IF(B281="N/A","",_xlfn._xlws.FILTER($A$13:$A$17,$B$13:$B$17&gt;VLOOKUP(A281,ActionPlans!$B$14:$G$34,6,0),""))</f>
        <v>Advanced</v>
      </c>
    </row>
    <row r="283" spans="1:2" x14ac:dyDescent="0.25">
      <c r="A283" t="str">
        <v>Managed</v>
      </c>
    </row>
    <row r="284" spans="1:2" x14ac:dyDescent="0.25">
      <c r="A284" t="str">
        <v>Optimized</v>
      </c>
    </row>
    <row r="287" spans="1:2" x14ac:dyDescent="0.25">
      <c r="A287" s="1" t="s">
        <v>35</v>
      </c>
      <c r="B287" t="str">
        <f>VLOOKUP(A287,ActionPlans!$B$14:$F$34,5,0)</f>
        <v>Advanced</v>
      </c>
    </row>
    <row r="288" spans="1:2" x14ac:dyDescent="0.25">
      <c r="A288" t="str" cm="1">
        <f t="array" ref="A288:A289">IF(B287="N/A","",_xlfn._xlws.FILTER($A$13:$A$17,$B$13:$B$17&gt;VLOOKUP(A287,ActionPlans!$B$14:$G$34,6,0),""))</f>
        <v>Managed</v>
      </c>
    </row>
    <row r="289" spans="1:2" x14ac:dyDescent="0.25">
      <c r="A289" t="str">
        <v>Optimized</v>
      </c>
    </row>
    <row r="293" spans="1:2" x14ac:dyDescent="0.25">
      <c r="A293" s="1" t="s">
        <v>36</v>
      </c>
      <c r="B293" t="str">
        <f>VLOOKUP(A293,ActionPlans!$B$14:$F$34,5,0)</f>
        <v>Advanced</v>
      </c>
    </row>
    <row r="294" spans="1:2" x14ac:dyDescent="0.25">
      <c r="A294" t="str" cm="1">
        <f t="array" ref="A294:A295">IF(B293="N/A","",_xlfn._xlws.FILTER($A$13:$A$17,$B$13:$B$17&gt;VLOOKUP(A293,ActionPlans!$B$14:$G$34,6,0),""))</f>
        <v>Managed</v>
      </c>
    </row>
    <row r="295" spans="1:2" x14ac:dyDescent="0.25">
      <c r="A295" t="str">
        <v>Optimized</v>
      </c>
    </row>
    <row r="299" spans="1:2" x14ac:dyDescent="0.25">
      <c r="A299" s="1" t="s">
        <v>37</v>
      </c>
      <c r="B299" t="str">
        <f>VLOOKUP(A299,ActionPlans!$B$14:$F$34,5,0)</f>
        <v>Advanced</v>
      </c>
    </row>
    <row r="300" spans="1:2" x14ac:dyDescent="0.25">
      <c r="A300" t="str" cm="1">
        <f t="array" ref="A300:A301">IF(B299="N/A","",_xlfn._xlws.FILTER($A$13:$A$17,$B$13:$B$17&gt;VLOOKUP(A299,ActionPlans!$B$14:$G$34,6,0),""))</f>
        <v>Managed</v>
      </c>
    </row>
    <row r="301" spans="1:2" x14ac:dyDescent="0.25">
      <c r="A301" t="str">
        <v>Optimized</v>
      </c>
    </row>
    <row r="305" spans="1:2" x14ac:dyDescent="0.25">
      <c r="A305" s="1" t="s">
        <v>38</v>
      </c>
      <c r="B305" t="str">
        <f>VLOOKUP(A305,ActionPlans!$B$14:$F$34,5,0)</f>
        <v>Basic</v>
      </c>
    </row>
    <row r="306" spans="1:2" x14ac:dyDescent="0.25">
      <c r="A306" t="str" cm="1">
        <f t="array" ref="A306:A308">IF(B305="N/A","",_xlfn._xlws.FILTER($A$13:$A$17,$B$13:$B$17&gt;VLOOKUP(A305,ActionPlans!$B$14:$G$34,6,0),""))</f>
        <v>Advanced</v>
      </c>
    </row>
    <row r="307" spans="1:2" x14ac:dyDescent="0.25">
      <c r="A307" t="str">
        <v>Managed</v>
      </c>
    </row>
    <row r="308" spans="1:2" x14ac:dyDescent="0.25">
      <c r="A308" t="str">
        <v>Optimized</v>
      </c>
    </row>
    <row r="311" spans="1:2" x14ac:dyDescent="0.25">
      <c r="A311" s="1" t="s">
        <v>39</v>
      </c>
      <c r="B311" t="str">
        <f>VLOOKUP(A311,ActionPlans!$B$14:$F$34,5,0)</f>
        <v>Advanced</v>
      </c>
    </row>
    <row r="312" spans="1:2" x14ac:dyDescent="0.25">
      <c r="A312" t="str" cm="1">
        <f t="array" ref="A312:A313">IF(B311="N/A","",_xlfn._xlws.FILTER($A$13:$A$17,$B$13:$B$17&gt;VLOOKUP(A311,ActionPlans!$B$14:$G$34,6,0),""))</f>
        <v>Managed</v>
      </c>
    </row>
    <row r="313" spans="1:2" x14ac:dyDescent="0.25">
      <c r="A313" t="str">
        <v>Optimized</v>
      </c>
    </row>
    <row r="317" spans="1:2" x14ac:dyDescent="0.25">
      <c r="A317" s="1" t="s">
        <v>40</v>
      </c>
      <c r="B317" t="str">
        <f>VLOOKUP(A317,ActionPlans!$B$14:$F$34,5,0)</f>
        <v>Managed</v>
      </c>
    </row>
    <row r="318" spans="1:2" x14ac:dyDescent="0.25">
      <c r="A318" t="str" cm="1">
        <f t="array" ref="A318">IF(B317="N/A","",_xlfn._xlws.FILTER($A$13:$A$17,$B$13:$B$17&gt;VLOOKUP(A317,ActionPlans!$B$14:$G$34,6,0),""))</f>
        <v>Optimized</v>
      </c>
    </row>
    <row r="323" spans="1:2" x14ac:dyDescent="0.25">
      <c r="A323" s="1" t="s">
        <v>41</v>
      </c>
      <c r="B323" t="str">
        <f>VLOOKUP(A323,ActionPlans!$B$14:$F$34,5,0)</f>
        <v>Advanced</v>
      </c>
    </row>
    <row r="324" spans="1:2" x14ac:dyDescent="0.25">
      <c r="A324" t="str" cm="1">
        <f t="array" ref="A324:A325">IF(B323="N/A","",_xlfn._xlws.FILTER($A$13:$A$17,$B$13:$B$17&gt;VLOOKUP(A323,ActionPlans!$B$14:$G$34,6,0),""))</f>
        <v>Managed</v>
      </c>
    </row>
    <row r="325" spans="1:2" x14ac:dyDescent="0.25">
      <c r="A325" t="str">
        <v>Optimized</v>
      </c>
    </row>
  </sheetData>
  <conditionalFormatting sqref="D21:D23">
    <cfRule type="iconSet" priority="1">
      <iconSet>
        <cfvo type="percent" val="0"/>
        <cfvo type="percent" val="33"/>
        <cfvo type="percent" val="67"/>
      </iconSet>
    </cfRule>
  </conditionalFormatting>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1851-4B29-472D-8E25-FD9DDE0AC7BE}">
  <dimension ref="A2:DB230"/>
  <sheetViews>
    <sheetView showGridLines="0" zoomScale="90" zoomScaleNormal="90" workbookViewId="0">
      <selection activeCell="A14" sqref="A14"/>
    </sheetView>
  </sheetViews>
  <sheetFormatPr defaultColWidth="8.85546875" defaultRowHeight="15" x14ac:dyDescent="0.25"/>
  <cols>
    <col min="1" max="1" width="72.42578125" customWidth="1"/>
    <col min="2" max="2" width="3.28515625" style="247" bestFit="1" customWidth="1"/>
    <col min="3" max="3" width="57.140625" customWidth="1"/>
    <col min="4" max="7" width="3.42578125" hidden="1" customWidth="1"/>
    <col min="8" max="8" width="2" bestFit="1" customWidth="1"/>
    <col min="9" max="9" width="57.140625" customWidth="1"/>
    <col min="10" max="13" width="3.42578125" hidden="1" customWidth="1"/>
    <col min="14" max="14" width="2" bestFit="1" customWidth="1"/>
    <col min="15" max="15" width="57.140625" customWidth="1"/>
    <col min="16" max="19" width="3.42578125" hidden="1" customWidth="1"/>
    <col min="20" max="20" width="2" bestFit="1" customWidth="1"/>
    <col min="21" max="21" width="57.140625" customWidth="1"/>
    <col min="22" max="25" width="3.42578125" hidden="1" customWidth="1"/>
    <col min="26" max="26" width="2" bestFit="1" customWidth="1"/>
    <col min="27" max="27" width="57.140625" customWidth="1"/>
    <col min="28" max="31" width="3.42578125" hidden="1" customWidth="1"/>
    <col min="32" max="32" width="2" bestFit="1" customWidth="1"/>
    <col min="33" max="33" width="57.140625" customWidth="1"/>
    <col min="34" max="37" width="3.42578125" hidden="1" customWidth="1"/>
    <col min="38" max="38" width="2" bestFit="1" customWidth="1"/>
    <col min="39" max="39" width="57.140625" customWidth="1"/>
    <col min="40" max="43" width="3.42578125" hidden="1" customWidth="1"/>
    <col min="44" max="44" width="2" bestFit="1" customWidth="1"/>
    <col min="45" max="45" width="57.140625" customWidth="1"/>
    <col min="46" max="49" width="3.42578125" hidden="1" customWidth="1"/>
    <col min="50" max="50" width="2" bestFit="1" customWidth="1"/>
    <col min="51" max="51" width="57.140625" customWidth="1"/>
    <col min="52" max="55" width="3.42578125" hidden="1" customWidth="1"/>
    <col min="56" max="56" width="2" bestFit="1" customWidth="1"/>
    <col min="57" max="57" width="57.140625" customWidth="1"/>
    <col min="58" max="61" width="3.42578125" hidden="1" customWidth="1"/>
    <col min="62" max="62" width="2" bestFit="1" customWidth="1"/>
    <col min="63" max="63" width="57.140625" customWidth="1"/>
    <col min="64" max="67" width="3.42578125" hidden="1" customWidth="1"/>
    <col min="68" max="68" width="2" bestFit="1" customWidth="1"/>
    <col min="69" max="69" width="57.140625" customWidth="1"/>
    <col min="70" max="73" width="3.42578125" hidden="1" customWidth="1"/>
    <col min="74" max="74" width="2" bestFit="1" customWidth="1"/>
    <col min="75" max="75" width="57.140625" customWidth="1"/>
    <col min="76" max="79" width="3.42578125" hidden="1" customWidth="1"/>
    <col min="80" max="80" width="2" bestFit="1" customWidth="1"/>
    <col min="81" max="81" width="57.140625" customWidth="1"/>
    <col min="82" max="85" width="3.42578125" hidden="1" customWidth="1"/>
    <col min="86" max="86" width="2" bestFit="1" customWidth="1"/>
    <col min="87" max="87" width="57.140625" customWidth="1"/>
    <col min="88" max="91" width="3.42578125" hidden="1" customWidth="1"/>
    <col min="92" max="92" width="2" bestFit="1" customWidth="1"/>
    <col min="93" max="93" width="57.140625" customWidth="1"/>
    <col min="94" max="97" width="3.42578125" hidden="1" customWidth="1"/>
    <col min="98" max="98" width="2" bestFit="1" customWidth="1"/>
    <col min="99" max="99" width="57.140625" customWidth="1"/>
    <col min="100" max="100" width="4.28515625" hidden="1" customWidth="1"/>
    <col min="101" max="101" width="3.42578125" hidden="1" customWidth="1"/>
    <col min="102" max="102" width="2" bestFit="1" customWidth="1"/>
    <col min="103" max="103" width="57.140625" customWidth="1"/>
    <col min="104" max="104" width="3.42578125" hidden="1" customWidth="1"/>
    <col min="105" max="105" width="2.140625" hidden="1" customWidth="1"/>
    <col min="106" max="106" width="2" bestFit="1" customWidth="1"/>
  </cols>
  <sheetData>
    <row r="2" spans="1:106" ht="18.75" x14ac:dyDescent="0.3">
      <c r="C2" s="499" t="s">
        <v>1402</v>
      </c>
      <c r="I2" s="495" t="str">
        <f>tech!A117</f>
        <v>1.1. Strategy and vision</v>
      </c>
      <c r="J2" t="str">
        <f>LEFT(I2,4)</f>
        <v>1.1.</v>
      </c>
      <c r="O2" s="495" t="str">
        <f>tech!A118</f>
        <v>1.2. Policies and documentation</v>
      </c>
      <c r="P2" t="str">
        <f>LEFT(O2,4)</f>
        <v>1.2.</v>
      </c>
      <c r="U2" s="495" t="str">
        <f>tech!A119</f>
        <v>1.3. Compliance</v>
      </c>
      <c r="V2" t="str">
        <f>LEFT(U2,4)</f>
        <v>1.3.</v>
      </c>
      <c r="AA2" s="495" t="str">
        <f>tech!A120</f>
        <v>1.4. Processes and procedures</v>
      </c>
      <c r="AB2" t="str">
        <f>LEFT(AA2,4)</f>
        <v>1.4.</v>
      </c>
      <c r="AG2" s="496" t="str">
        <f>tech!A121</f>
        <v>2.1. Key Management</v>
      </c>
      <c r="AH2" t="str">
        <f>LEFT(AG2,4)</f>
        <v>2.1.</v>
      </c>
      <c r="AM2" s="496" t="str">
        <f>tech!A122</f>
        <v>2.2. Certificate Management</v>
      </c>
      <c r="AN2" t="str">
        <f>LEFT(AM2,4)</f>
        <v>2.2.</v>
      </c>
      <c r="AS2" s="496" t="str">
        <f>tech!A123</f>
        <v>2.3. Infrastructure Management</v>
      </c>
      <c r="AT2" t="str">
        <f>LEFT(AS2,4)</f>
        <v>2.3.</v>
      </c>
      <c r="AY2" s="496" t="str">
        <f>tech!A124</f>
        <v>2.4. Change Management and Agility</v>
      </c>
      <c r="AZ2" t="str">
        <f>LEFT(AY2,4)</f>
        <v>2.4.</v>
      </c>
      <c r="BE2" s="497" t="str">
        <f>tech!A125</f>
        <v>3.1. Resilience</v>
      </c>
      <c r="BF2" t="str">
        <f>LEFT(BE2,4)</f>
        <v>3.1.</v>
      </c>
      <c r="BK2" s="497" t="str">
        <f>tech!A126</f>
        <v>3.2. Interoperability</v>
      </c>
      <c r="BL2" t="str">
        <f>LEFT(BK2,4)</f>
        <v>3.2.</v>
      </c>
      <c r="BQ2" s="497" t="str">
        <f>tech!A127</f>
        <v>3.3. Monitoring and Auditing</v>
      </c>
      <c r="BR2" t="str">
        <f>LEFT(BQ2,4)</f>
        <v>3.3.</v>
      </c>
      <c r="BW2" s="497" t="str">
        <f>tech!A128</f>
        <v>3.4. Automation</v>
      </c>
      <c r="BX2" t="str">
        <f>LEFT(BW2,4)</f>
        <v>3.4.</v>
      </c>
      <c r="CC2" s="498" t="str">
        <f>tech!A129</f>
        <v>4.1. Sourcing</v>
      </c>
      <c r="CD2" t="str">
        <f>LEFT(CC2,4)</f>
        <v>4.1.</v>
      </c>
      <c r="CI2" s="498" t="str">
        <f>tech!A130</f>
        <v>4.2. Knowledge and Training</v>
      </c>
      <c r="CJ2" t="str">
        <f>LEFT(CI2,4)</f>
        <v>4.2.</v>
      </c>
      <c r="CO2" s="498" t="str">
        <f>tech!A131</f>
        <v>4.3. Awareness</v>
      </c>
      <c r="CP2" t="str">
        <f>LEFT(CO2,4)</f>
        <v>4.3.</v>
      </c>
      <c r="CU2" s="499" t="s">
        <v>150</v>
      </c>
      <c r="CY2" s="499" t="s">
        <v>1419</v>
      </c>
    </row>
    <row r="3" spans="1:106" ht="15.75" thickBot="1" x14ac:dyDescent="0.3">
      <c r="C3" s="143" t="s">
        <v>484</v>
      </c>
      <c r="I3" s="143" t="s">
        <v>490</v>
      </c>
      <c r="K3" t="s">
        <v>1</v>
      </c>
      <c r="L3" t="s">
        <v>291</v>
      </c>
      <c r="O3" s="143" t="s">
        <v>541</v>
      </c>
      <c r="Q3" t="s">
        <v>1</v>
      </c>
      <c r="R3" t="s">
        <v>291</v>
      </c>
      <c r="U3" s="143" t="s">
        <v>652</v>
      </c>
      <c r="W3" t="s">
        <v>1</v>
      </c>
      <c r="X3" t="s">
        <v>291</v>
      </c>
      <c r="AA3" s="143" t="s">
        <v>653</v>
      </c>
      <c r="AC3" t="s">
        <v>1</v>
      </c>
      <c r="AD3" t="s">
        <v>291</v>
      </c>
      <c r="AG3" s="143" t="s">
        <v>695</v>
      </c>
      <c r="AI3" t="s">
        <v>1</v>
      </c>
      <c r="AJ3" t="s">
        <v>291</v>
      </c>
      <c r="AM3" s="143" t="s">
        <v>769</v>
      </c>
      <c r="AO3" t="s">
        <v>1</v>
      </c>
      <c r="AP3" t="s">
        <v>291</v>
      </c>
      <c r="AS3" s="143" t="s">
        <v>886</v>
      </c>
      <c r="AU3" t="s">
        <v>1</v>
      </c>
      <c r="AV3" t="s">
        <v>291</v>
      </c>
      <c r="AY3" s="143" t="s">
        <v>954</v>
      </c>
      <c r="BA3" t="s">
        <v>1</v>
      </c>
      <c r="BB3" t="s">
        <v>291</v>
      </c>
      <c r="BE3" s="143" t="s">
        <v>1011</v>
      </c>
      <c r="BG3" t="s">
        <v>1</v>
      </c>
      <c r="BH3" t="s">
        <v>291</v>
      </c>
      <c r="BK3" s="143" t="s">
        <v>1088</v>
      </c>
      <c r="BM3" t="s">
        <v>1</v>
      </c>
      <c r="BN3" t="s">
        <v>291</v>
      </c>
      <c r="BQ3" s="143" t="s">
        <v>1135</v>
      </c>
      <c r="BS3" t="s">
        <v>1</v>
      </c>
      <c r="BT3" t="s">
        <v>291</v>
      </c>
      <c r="BW3" s="143" t="s">
        <v>1210</v>
      </c>
      <c r="BY3" t="s">
        <v>1</v>
      </c>
      <c r="BZ3" t="s">
        <v>291</v>
      </c>
      <c r="CC3" s="143" t="s">
        <v>1250</v>
      </c>
      <c r="CE3" t="s">
        <v>1</v>
      </c>
      <c r="CF3" t="s">
        <v>291</v>
      </c>
      <c r="CI3" s="143" t="s">
        <v>1284</v>
      </c>
      <c r="CK3" t="s">
        <v>1</v>
      </c>
      <c r="CL3" t="s">
        <v>291</v>
      </c>
      <c r="CO3" s="143" t="s">
        <v>1361</v>
      </c>
      <c r="CQ3" t="s">
        <v>1</v>
      </c>
      <c r="CR3" t="s">
        <v>291</v>
      </c>
      <c r="CU3" s="143" t="s">
        <v>1418</v>
      </c>
    </row>
    <row r="4" spans="1:106" x14ac:dyDescent="0.25">
      <c r="A4" s="1" t="s">
        <v>1450</v>
      </c>
      <c r="B4" s="247">
        <v>1</v>
      </c>
      <c r="C4" s="491" t="s">
        <v>485</v>
      </c>
      <c r="D4" t="str">
        <f>TRIM(_xlfn.TEXTBEFORE(_xlfn.TEXTAFTER(C4,"|"),"|"))</f>
        <v>1</v>
      </c>
      <c r="G4" t="str">
        <f t="shared" ref="G4:G8" si="0">TRIM(_xlfn.TEXTBEFORE(_xlfn.TEXTAFTER(C4,"|",3),"|"))</f>
        <v>Unpredictable process with poor control and always reactive</v>
      </c>
      <c r="H4" t="s">
        <v>495</v>
      </c>
      <c r="I4" s="491" t="s">
        <v>491</v>
      </c>
      <c r="J4" t="str">
        <f>IF(I4="","",_xlfn.CONCAT(J$2,$B4,"."))</f>
        <v>1.1.1.</v>
      </c>
      <c r="K4" t="str">
        <f>IF(I4="","",TRIM(_xlfn.TEXTBEFORE(_xlfn.TEXTAFTER(I4,"|",3),"|")))</f>
        <v>3</v>
      </c>
      <c r="L4" t="str">
        <f>IF(I4="","",TRIM(_xlfn.TEXTBEFORE(_xlfn.TEXTAFTER(I4,"|",2),"|")))</f>
        <v>Organizational sponsor and support</v>
      </c>
      <c r="M4" t="str">
        <f>J4</f>
        <v>1.1.1.</v>
      </c>
      <c r="N4" t="s">
        <v>495</v>
      </c>
      <c r="O4" s="491" t="s">
        <v>542</v>
      </c>
      <c r="P4" t="str">
        <f>IF(O4="","",_xlfn.CONCAT(P$2,$B4,"."))</f>
        <v>1.2.1.</v>
      </c>
      <c r="Q4" t="str">
        <f>IF(O4="","",TRIM(_xlfn.TEXTBEFORE(_xlfn.TEXTAFTER(O4,"|",3),"|")))</f>
        <v>2</v>
      </c>
      <c r="R4" t="str">
        <f>IF(O4="","",TRIM(_xlfn.TEXTBEFORE(_xlfn.TEXTAFTER(O4,"|",2),"|")))</f>
        <v>The scope of policies is defined and documented</v>
      </c>
      <c r="S4" t="str">
        <f>P4</f>
        <v>1.2.1.</v>
      </c>
      <c r="T4" t="s">
        <v>495</v>
      </c>
      <c r="U4" s="491" t="s">
        <v>614</v>
      </c>
      <c r="V4" t="str">
        <f>IF(U4="","",_xlfn.CONCAT(V$2,$B4,"."))</f>
        <v>1.3.1.</v>
      </c>
      <c r="W4" t="str">
        <f>IF(U4="","",TRIM(_xlfn.TEXTBEFORE(_xlfn.TEXTAFTER(U4,"|",3),"|")))</f>
        <v>3</v>
      </c>
      <c r="X4" t="str">
        <f>IF(U4="","",TRIM(_xlfn.TEXTBEFORE(_xlfn.TEXTAFTER(U4,"|",2),"|")))</f>
        <v>Compliance policies are defined, implemented, and communicated</v>
      </c>
      <c r="Y4" t="str">
        <f>V4</f>
        <v>1.3.1.</v>
      </c>
      <c r="Z4" t="s">
        <v>495</v>
      </c>
      <c r="AA4" s="491" t="s">
        <v>654</v>
      </c>
      <c r="AB4" t="str">
        <f>IF(AA4="","",_xlfn.CONCAT(AB$2,$B4,"."))</f>
        <v>1.4.1.</v>
      </c>
      <c r="AC4" t="str">
        <f>IF(AA4="","",TRIM(_xlfn.TEXTBEFORE(_xlfn.TEXTAFTER(AA4,"|",3),"|")))</f>
        <v>4</v>
      </c>
      <c r="AD4" t="str">
        <f>IF(AA4="","",TRIM(_xlfn.TEXTBEFORE(_xlfn.TEXTAFTER(AA4,"|",2),"|")))</f>
        <v>Scope of processes and procedure is aligned with policies</v>
      </c>
      <c r="AE4" t="str">
        <f>AB4</f>
        <v>1.4.1.</v>
      </c>
      <c r="AF4" t="s">
        <v>495</v>
      </c>
      <c r="AG4" s="491" t="s">
        <v>696</v>
      </c>
      <c r="AH4" t="str">
        <f>IF(AG4="","",_xlfn.CONCAT(AH$2,$B4,"."))</f>
        <v>2.1.1.</v>
      </c>
      <c r="AI4" t="str">
        <f>IF(AG4="","",TRIM(_xlfn.TEXTBEFORE(_xlfn.TEXTAFTER(AG4,"|",3),"|")))</f>
        <v>2</v>
      </c>
      <c r="AJ4" t="str">
        <f>IF(AG4="","",TRIM(_xlfn.TEXTBEFORE(_xlfn.TEXTAFTER(AG4,"|",2),"|")))</f>
        <v>Key management roles and responsibilities are documented and formally assigned</v>
      </c>
      <c r="AK4" t="str">
        <f>AH4</f>
        <v>2.1.1.</v>
      </c>
      <c r="AL4" t="s">
        <v>495</v>
      </c>
      <c r="AM4" s="491" t="s">
        <v>770</v>
      </c>
      <c r="AN4" t="str">
        <f>IF(AM4="","",_xlfn.CONCAT(AN$2,$B4,"."))</f>
        <v>2.2.1.</v>
      </c>
      <c r="AO4" t="str">
        <f>IF(AM4="","",TRIM(_xlfn.TEXTBEFORE(_xlfn.TEXTAFTER(AM4,"|",3),"|")))</f>
        <v>2</v>
      </c>
      <c r="AP4" t="str">
        <f>IF(AM4="","",TRIM(_xlfn.TEXTBEFORE(_xlfn.TEXTAFTER(AM4,"|",2),"|")))</f>
        <v>Certificate profiles are documented</v>
      </c>
      <c r="AQ4" t="str">
        <f>AN4</f>
        <v>2.2.1.</v>
      </c>
      <c r="AR4" t="s">
        <v>495</v>
      </c>
      <c r="AS4" s="491" t="s">
        <v>887</v>
      </c>
      <c r="AT4" t="str">
        <f>IF(AS4="","",_xlfn.CONCAT(AT$2,$B4,"."))</f>
        <v>2.3.1.</v>
      </c>
      <c r="AU4" t="str">
        <f>IF(AS4="","",TRIM(_xlfn.TEXTBEFORE(_xlfn.TEXTAFTER(AS4,"|",3),"|")))</f>
        <v>4</v>
      </c>
      <c r="AV4" t="str">
        <f>IF(AS4="","",TRIM(_xlfn.TEXTBEFORE(_xlfn.TEXTAFTER(AS4,"|",2),"|")))</f>
        <v>Network and deployment infrastructure is documented</v>
      </c>
      <c r="AW4" t="str">
        <f>AT4</f>
        <v>2.3.1.</v>
      </c>
      <c r="AX4" t="s">
        <v>495</v>
      </c>
      <c r="AY4" s="491" t="s">
        <v>955</v>
      </c>
      <c r="AZ4" t="str">
        <f>IF(AY4="","",_xlfn.CONCAT(AZ$2,$B4,"."))</f>
        <v>2.4.1.</v>
      </c>
      <c r="BA4" t="str">
        <f>IF(AY4="","",TRIM(_xlfn.TEXTBEFORE(_xlfn.TEXTAFTER(AY4,"|",3),"|")))</f>
        <v>4</v>
      </c>
      <c r="BB4" t="str">
        <f>IF(AY4="","",TRIM(_xlfn.TEXTBEFORE(_xlfn.TEXTAFTER(AY4,"|",2),"|")))</f>
        <v>The policy for change management and agility is documented</v>
      </c>
      <c r="BC4" t="str">
        <f>AZ4</f>
        <v>2.4.1.</v>
      </c>
      <c r="BD4" t="s">
        <v>495</v>
      </c>
      <c r="BE4" s="491" t="s">
        <v>1012</v>
      </c>
      <c r="BF4" t="str">
        <f>IF(BE4="","",_xlfn.CONCAT(BF$2,$B4,"."))</f>
        <v>3.1.1.</v>
      </c>
      <c r="BG4" t="str">
        <f>IF(BE4="","",TRIM(_xlfn.TEXTBEFORE(_xlfn.TEXTAFTER(BE4,"|",3),"|")))</f>
        <v>6</v>
      </c>
      <c r="BH4" t="str">
        <f>IF(BE4="","",TRIM(_xlfn.TEXTBEFORE(_xlfn.TEXTAFTER(BE4,"|",2),"|")))</f>
        <v>Risk assessment and business impact analysis</v>
      </c>
      <c r="BI4" t="str">
        <f>BF4</f>
        <v>3.1.1.</v>
      </c>
      <c r="BJ4" t="s">
        <v>495</v>
      </c>
      <c r="BK4" s="491" t="s">
        <v>1089</v>
      </c>
      <c r="BL4" t="str">
        <f>IF(BK4="","",_xlfn.CONCAT(BL$2,$B4,"."))</f>
        <v>3.2.1.</v>
      </c>
      <c r="BM4" t="str">
        <f>IF(BK4="","",TRIM(_xlfn.TEXTBEFORE(_xlfn.TEXTAFTER(BK4,"|",3),"|")))</f>
        <v>3</v>
      </c>
      <c r="BN4" t="str">
        <f>IF(BK4="","",TRIM(_xlfn.TEXTBEFORE(_xlfn.TEXTAFTER(BK4,"|",2),"|")))</f>
        <v>Maintain PKI interoperability strategy</v>
      </c>
      <c r="BO4" t="str">
        <f>BL4</f>
        <v>3.2.1.</v>
      </c>
      <c r="BP4" t="s">
        <v>495</v>
      </c>
      <c r="BQ4" s="491" t="s">
        <v>1136</v>
      </c>
      <c r="BR4" t="str">
        <f>IF(BQ4="","",_xlfn.CONCAT(BR$2,$B4,"."))</f>
        <v>3.3.1.</v>
      </c>
      <c r="BS4" t="str">
        <f>IF(BQ4="","",TRIM(_xlfn.TEXTBEFORE(_xlfn.TEXTAFTER(BQ4,"|",3),"|")))</f>
        <v>4</v>
      </c>
      <c r="BT4" t="str">
        <f>IF(BQ4="","",TRIM(_xlfn.TEXTBEFORE(_xlfn.TEXTAFTER(BQ4,"|",2),"|")))</f>
        <v>Monitoring events and logging requirements are defined and documented</v>
      </c>
      <c r="BU4" t="str">
        <f>BR4</f>
        <v>3.3.1.</v>
      </c>
      <c r="BV4" t="s">
        <v>495</v>
      </c>
      <c r="BW4" s="491" t="s">
        <v>1211</v>
      </c>
      <c r="BX4" t="str">
        <f>IF(BW4="","",_xlfn.CONCAT(BX$2,$B4,"."))</f>
        <v>3.4.1.</v>
      </c>
      <c r="BY4" t="str">
        <f>IF(BW4="","",TRIM(_xlfn.TEXTBEFORE(_xlfn.TEXTAFTER(BW4,"|",3),"|")))</f>
        <v>3</v>
      </c>
      <c r="BZ4" t="str">
        <f>IF(BW4="","",TRIM(_xlfn.TEXTBEFORE(_xlfn.TEXTAFTER(BW4,"|",2),"|")))</f>
        <v>Process automation description</v>
      </c>
      <c r="CA4" t="str">
        <f>BX4</f>
        <v>3.4.1.</v>
      </c>
      <c r="CB4" t="s">
        <v>495</v>
      </c>
      <c r="CC4" s="491" t="s">
        <v>1251</v>
      </c>
      <c r="CD4" t="str">
        <f>IF(CC4="","",_xlfn.CONCAT(CD$2,$B4,"."))</f>
        <v>4.1.1.</v>
      </c>
      <c r="CE4" t="str">
        <f>IF(CC4="","",TRIM(_xlfn.TEXTBEFORE(_xlfn.TEXTAFTER(CC4,"|",3),"|")))</f>
        <v>5</v>
      </c>
      <c r="CF4" t="str">
        <f>IF(CC4="","",TRIM(_xlfn.TEXTBEFORE(_xlfn.TEXTAFTER(CC4,"|",2),"|")))</f>
        <v>Resources are identified and documented</v>
      </c>
      <c r="CG4" t="str">
        <f>CD4</f>
        <v>4.1.1.</v>
      </c>
      <c r="CH4" t="s">
        <v>495</v>
      </c>
      <c r="CI4" s="491" t="s">
        <v>1285</v>
      </c>
      <c r="CJ4" t="str">
        <f>IF(CI4="","",_xlfn.CONCAT(CJ$2,$B4,"."))</f>
        <v>4.2.1.</v>
      </c>
      <c r="CK4" t="str">
        <f>IF(CI4="","",TRIM(_xlfn.TEXTBEFORE(_xlfn.TEXTAFTER(CI4,"|",3),"|")))</f>
        <v>2</v>
      </c>
      <c r="CL4" t="str">
        <f>IF(CI4="","",TRIM(_xlfn.TEXTBEFORE(_xlfn.TEXTAFTER(CI4,"|",2),"|")))</f>
        <v>Establish training plan</v>
      </c>
      <c r="CM4" t="str">
        <f>CJ4</f>
        <v>4.2.1.</v>
      </c>
      <c r="CN4" t="s">
        <v>495</v>
      </c>
      <c r="CO4" s="491" t="s">
        <v>1362</v>
      </c>
      <c r="CP4" t="str">
        <f>IF(CO4="","",_xlfn.CONCAT(CP$2,$B4,"."))</f>
        <v>4.3.1.</v>
      </c>
      <c r="CQ4" t="str">
        <f>IF(CO4="","",TRIM(_xlfn.TEXTBEFORE(_xlfn.TEXTAFTER(CO4,"|",3),"|")))</f>
        <v>2</v>
      </c>
      <c r="CR4" t="str">
        <f>IF(CO4="","",TRIM(_xlfn.TEXTBEFORE(_xlfn.TEXTAFTER(CO4,"|",2),"|")))</f>
        <v>Establish and maintain awareness plan</v>
      </c>
      <c r="CS4" t="str">
        <f>CP4</f>
        <v>4.3.1.</v>
      </c>
      <c r="CT4" t="s">
        <v>495</v>
      </c>
      <c r="CU4" s="491" t="s">
        <v>1403</v>
      </c>
      <c r="CV4" t="str">
        <f>IF(CU4="","",VLOOKUP(_xlfn.TEXTBEFORE(_xlfn.TEXTAFTER(CU4,"["),"]"),tech!$E$117:$F$131,2,0))</f>
        <v>1.1.</v>
      </c>
      <c r="CW4" t="str">
        <f>IF(CU4="","",TRIM(_xlfn.TEXTBEFORE(_xlfn.TEXTAFTER(CU4,"|",3),"|")))</f>
        <v>Responsible for the PKI management and strategy. Includes alignment with organizational goals and requirements, risk management, and policy decisions.</v>
      </c>
      <c r="CX4" t="s">
        <v>495</v>
      </c>
      <c r="CY4" s="491" t="s">
        <v>1420</v>
      </c>
      <c r="CZ4" t="str">
        <f>IF(CY4="","",SUBSTITUTE(TRIM(_xlfn.TEXTBEFORE(_xlfn.TEXTAFTER(CY4,"|"),"|")),"*",""))</f>
        <v>Strategy and vision</v>
      </c>
      <c r="DA4" t="str">
        <f>IF(CY4="","",TRIM(_xlfn.TEXTBEFORE(_xlfn.TEXTAFTER(CY4,"|",2),"|")))</f>
        <v>5</v>
      </c>
      <c r="DB4" t="s">
        <v>495</v>
      </c>
    </row>
    <row r="5" spans="1:106" x14ac:dyDescent="0.25">
      <c r="B5" s="247">
        <v>2</v>
      </c>
      <c r="C5" s="492" t="s">
        <v>486</v>
      </c>
      <c r="D5" t="str">
        <f>TRIM(_xlfn.TEXTBEFORE(_xlfn.TEXTAFTER(C5,"|"),"|"))</f>
        <v>2</v>
      </c>
      <c r="G5" t="str">
        <f t="shared" si="0"/>
        <v>Process is characterized by each particular case or project and controls are often reactive</v>
      </c>
      <c r="H5" t="s">
        <v>495</v>
      </c>
      <c r="I5" s="492" t="s">
        <v>492</v>
      </c>
      <c r="J5" t="str">
        <f>IF(I5="","",_xlfn.CONCAT($J$2,$B5,"."))</f>
        <v>1.1.2.</v>
      </c>
      <c r="K5" t="str">
        <f>IF(I5="","",TRIM(_xlfn.TEXTBEFORE(_xlfn.TEXTAFTER(I5,"|",3),"|")))</f>
        <v>2</v>
      </c>
      <c r="L5" t="str">
        <f>IF(I5="","",TRIM(_xlfn.TEXTBEFORE(_xlfn.TEXTAFTER(I5,"|",2),"|")))</f>
        <v>Formal assignment of responsible leadership</v>
      </c>
      <c r="M5" t="str">
        <f t="shared" ref="M5:M13" si="1">J5</f>
        <v>1.1.2.</v>
      </c>
      <c r="N5" t="s">
        <v>495</v>
      </c>
      <c r="O5" s="492" t="s">
        <v>543</v>
      </c>
      <c r="P5" t="str">
        <f t="shared" ref="P5:P13" si="2">IF(O5="","",_xlfn.CONCAT(P$2,$B5,"."))</f>
        <v>1.2.2.</v>
      </c>
      <c r="Q5" t="str">
        <f>IF(O5="","",TRIM(_xlfn.TEXTBEFORE(_xlfn.TEXTAFTER(O5,"|",3),"|")))</f>
        <v>5</v>
      </c>
      <c r="R5" t="str">
        <f>IF(O5="","",TRIM(_xlfn.TEXTBEFORE(_xlfn.TEXTAFTER(O5,"|",2),"|")))</f>
        <v>Certificate Policy is documented and published</v>
      </c>
      <c r="S5" t="str">
        <f t="shared" ref="S5:S13" si="3">P5</f>
        <v>1.2.2.</v>
      </c>
      <c r="T5" t="s">
        <v>495</v>
      </c>
      <c r="U5" s="492" t="s">
        <v>615</v>
      </c>
      <c r="V5" t="str">
        <f t="shared" ref="V5:V13" si="4">IF(U5="","",_xlfn.CONCAT(V$2,$B5,"."))</f>
        <v>1.3.2.</v>
      </c>
      <c r="W5" t="str">
        <f>IF(U5="","",TRIM(_xlfn.TEXTBEFORE(_xlfn.TEXTAFTER(U5,"|",3),"|")))</f>
        <v>4</v>
      </c>
      <c r="X5" t="str">
        <f>IF(U5="","",TRIM(_xlfn.TEXTBEFORE(_xlfn.TEXTAFTER(U5,"|",2),"|")))</f>
        <v>A program to monitor compliance with the policies is established</v>
      </c>
      <c r="Y5" t="str">
        <f t="shared" ref="Y5:Y13" si="5">V5</f>
        <v>1.3.2.</v>
      </c>
      <c r="Z5" t="s">
        <v>495</v>
      </c>
      <c r="AA5" s="492" t="s">
        <v>655</v>
      </c>
      <c r="AB5" t="str">
        <f t="shared" ref="AB5:AB13" si="6">IF(AA5="","",_xlfn.CONCAT(AB$2,$B5,"."))</f>
        <v>1.4.2.</v>
      </c>
      <c r="AC5" t="str">
        <f>IF(AA5="","",TRIM(_xlfn.TEXTBEFORE(_xlfn.TEXTAFTER(AA5,"|",3),"|")))</f>
        <v>3</v>
      </c>
      <c r="AD5" t="str">
        <f>IF(AA5="","",TRIM(_xlfn.TEXTBEFORE(_xlfn.TEXTAFTER(AA5,"|",2),"|")))</f>
        <v>Processes and procedures are formally documented and followed</v>
      </c>
      <c r="AE5" t="str">
        <f t="shared" ref="AE5:AE13" si="7">AB5</f>
        <v>1.4.2.</v>
      </c>
      <c r="AF5" t="s">
        <v>495</v>
      </c>
      <c r="AG5" s="492" t="s">
        <v>697</v>
      </c>
      <c r="AH5" t="str">
        <f t="shared" ref="AH5:AH13" si="8">IF(AG5="","",_xlfn.CONCAT(AH$2,$B5,"."))</f>
        <v>2.1.2.</v>
      </c>
      <c r="AI5" t="str">
        <f>IF(AG5="","",TRIM(_xlfn.TEXTBEFORE(_xlfn.TEXTAFTER(AG5,"|",3),"|")))</f>
        <v>2</v>
      </c>
      <c r="AJ5" t="str">
        <f>IF(AG5="","",TRIM(_xlfn.TEXTBEFORE(_xlfn.TEXTAFTER(AG5,"|",2),"|")))</f>
        <v>Inventory of cryptographic keys is documented and maintained</v>
      </c>
      <c r="AK5" t="str">
        <f t="shared" ref="AK5:AK13" si="9">AH5</f>
        <v>2.1.2.</v>
      </c>
      <c r="AL5" t="s">
        <v>495</v>
      </c>
      <c r="AM5" s="492" t="s">
        <v>771</v>
      </c>
      <c r="AN5" t="str">
        <f t="shared" ref="AN5:AN13" si="10">IF(AM5="","",_xlfn.CONCAT(AN$2,$B5,"."))</f>
        <v>2.2.2.</v>
      </c>
      <c r="AO5" t="str">
        <f>IF(AM5="","",TRIM(_xlfn.TEXTBEFORE(_xlfn.TEXTAFTER(AM5,"|",3),"|")))</f>
        <v>3</v>
      </c>
      <c r="AP5" t="str">
        <f>IF(AM5="","",TRIM(_xlfn.TEXTBEFORE(_xlfn.TEXTAFTER(AM5,"|",2),"|")))</f>
        <v>Certificate cipher suites are documented</v>
      </c>
      <c r="AQ5" t="str">
        <f t="shared" ref="AQ5:AQ13" si="11">AN5</f>
        <v>2.2.2.</v>
      </c>
      <c r="AR5" t="s">
        <v>495</v>
      </c>
      <c r="AS5" s="492" t="s">
        <v>888</v>
      </c>
      <c r="AT5" t="str">
        <f t="shared" ref="AT5:AT13" si="12">IF(AS5="","",_xlfn.CONCAT(AT$2,$B5,"."))</f>
        <v>2.3.2.</v>
      </c>
      <c r="AU5" t="str">
        <f>IF(AS5="","",TRIM(_xlfn.TEXTBEFORE(_xlfn.TEXTAFTER(AS5,"|",3),"|")))</f>
        <v>3</v>
      </c>
      <c r="AV5" t="str">
        <f>IF(AS5="","",TRIM(_xlfn.TEXTBEFORE(_xlfn.TEXTAFTER(AS5,"|",2),"|")))</f>
        <v>Separation and segmentation principles are applied</v>
      </c>
      <c r="AW5" t="str">
        <f t="shared" ref="AW5:AW13" si="13">AT5</f>
        <v>2.3.2.</v>
      </c>
      <c r="AX5" t="s">
        <v>495</v>
      </c>
      <c r="AY5" s="492" t="s">
        <v>956</v>
      </c>
      <c r="AZ5" t="str">
        <f t="shared" ref="AZ5:AZ13" si="14">IF(AY5="","",_xlfn.CONCAT(AZ$2,$B5,"."))</f>
        <v>2.4.2.</v>
      </c>
      <c r="BA5" t="str">
        <f>IF(AY5="","",TRIM(_xlfn.TEXTBEFORE(_xlfn.TEXTAFTER(AY5,"|",3),"|")))</f>
        <v>3</v>
      </c>
      <c r="BB5" t="str">
        <f>IF(AY5="","",TRIM(_xlfn.TEXTBEFORE(_xlfn.TEXTAFTER(AY5,"|",2),"|")))</f>
        <v>Request for change structure is documented and followed</v>
      </c>
      <c r="BC5" t="str">
        <f t="shared" ref="BC5:BC13" si="15">AZ5</f>
        <v>2.4.2.</v>
      </c>
      <c r="BD5" t="s">
        <v>495</v>
      </c>
      <c r="BE5" s="492" t="s">
        <v>1013</v>
      </c>
      <c r="BF5" t="str">
        <f t="shared" ref="BF5:BF13" si="16">IF(BE5="","",_xlfn.CONCAT(BF$2,$B5,"."))</f>
        <v>3.1.2.</v>
      </c>
      <c r="BG5" t="str">
        <f>IF(BE5="","",TRIM(_xlfn.TEXTBEFORE(_xlfn.TEXTAFTER(BE5,"|",3),"|")))</f>
        <v>4</v>
      </c>
      <c r="BH5" t="str">
        <f>IF(BE5="","",TRIM(_xlfn.TEXTBEFORE(_xlfn.TEXTAFTER(BE5,"|",2),"|")))</f>
        <v>Cyber-security management and incident planning</v>
      </c>
      <c r="BI5" t="str">
        <f t="shared" ref="BI5:BI13" si="17">BF5</f>
        <v>3.1.2.</v>
      </c>
      <c r="BJ5" t="s">
        <v>495</v>
      </c>
      <c r="BK5" s="492" t="s">
        <v>1090</v>
      </c>
      <c r="BL5" t="str">
        <f t="shared" ref="BL5:BL13" si="18">IF(BK5="","",_xlfn.CONCAT(BL$2,$B5,"."))</f>
        <v>3.2.2.</v>
      </c>
      <c r="BM5" t="str">
        <f>IF(BK5="","",TRIM(_xlfn.TEXTBEFORE(_xlfn.TEXTAFTER(BK5,"|",3),"|")))</f>
        <v>1</v>
      </c>
      <c r="BN5" t="str">
        <f>IF(BK5="","",TRIM(_xlfn.TEXTBEFORE(_xlfn.TEXTAFTER(BK5,"|",2),"|")))</f>
        <v>Documented integration guidance</v>
      </c>
      <c r="BO5" t="str">
        <f t="shared" ref="BO5:BO13" si="19">BL5</f>
        <v>3.2.2.</v>
      </c>
      <c r="BP5" t="s">
        <v>495</v>
      </c>
      <c r="BQ5" s="492" t="s">
        <v>1137</v>
      </c>
      <c r="BR5" t="str">
        <f t="shared" ref="BR5:BR13" si="20">IF(BQ5="","",_xlfn.CONCAT(BR$2,$B5,"."))</f>
        <v>3.3.2.</v>
      </c>
      <c r="BS5" t="str">
        <f>IF(BQ5="","",TRIM(_xlfn.TEXTBEFORE(_xlfn.TEXTAFTER(BQ5,"|",3),"|")))</f>
        <v>4</v>
      </c>
      <c r="BT5" t="str">
        <f>IF(BQ5="","",TRIM(_xlfn.TEXTBEFORE(_xlfn.TEXTAFTER(BQ5,"|",2),"|")))</f>
        <v>Event logs from systems are collected</v>
      </c>
      <c r="BU5" t="str">
        <f t="shared" ref="BU5:BU13" si="21">BR5</f>
        <v>3.3.2.</v>
      </c>
      <c r="BV5" t="s">
        <v>495</v>
      </c>
      <c r="BW5" s="492" t="s">
        <v>1212</v>
      </c>
      <c r="BX5" t="str">
        <f t="shared" ref="BX5:BX13" si="22">IF(BW5="","",_xlfn.CONCAT(BX$2,$B5,"."))</f>
        <v>3.4.2.</v>
      </c>
      <c r="BY5" t="str">
        <f>IF(BW5="","",TRIM(_xlfn.TEXTBEFORE(_xlfn.TEXTAFTER(BW5,"|",3),"|")))</f>
        <v>1</v>
      </c>
      <c r="BZ5" t="str">
        <f>IF(BW5="","",TRIM(_xlfn.TEXTBEFORE(_xlfn.TEXTAFTER(BW5,"|",2),"|")))</f>
        <v>Monitoring and auditing of automated process</v>
      </c>
      <c r="CA5" t="str">
        <f t="shared" ref="CA5:CA13" si="23">BX5</f>
        <v>3.4.2.</v>
      </c>
      <c r="CB5" t="s">
        <v>495</v>
      </c>
      <c r="CC5" s="492" t="s">
        <v>1252</v>
      </c>
      <c r="CD5" t="str">
        <f t="shared" ref="CD5:CD13" si="24">IF(CC5="","",_xlfn.CONCAT(CD$2,$B5,"."))</f>
        <v>4.1.2.</v>
      </c>
      <c r="CE5" t="str">
        <f>IF(CC5="","",TRIM(_xlfn.TEXTBEFORE(_xlfn.TEXTAFTER(CC5,"|",3),"|")))</f>
        <v>3</v>
      </c>
      <c r="CF5" t="str">
        <f>IF(CC5="","",TRIM(_xlfn.TEXTBEFORE(_xlfn.TEXTAFTER(CC5,"|",2),"|")))</f>
        <v>Resources are clearly defined</v>
      </c>
      <c r="CG5" t="str">
        <f t="shared" ref="CG5:CG13" si="25">CD5</f>
        <v>4.1.2.</v>
      </c>
      <c r="CH5" t="s">
        <v>495</v>
      </c>
      <c r="CI5" s="492" t="s">
        <v>1286</v>
      </c>
      <c r="CJ5" t="str">
        <f t="shared" ref="CJ5:CJ13" si="26">IF(CI5="","",_xlfn.CONCAT(CJ$2,$B5,"."))</f>
        <v>4.2.2.</v>
      </c>
      <c r="CK5" t="str">
        <f>IF(CI5="","",TRIM(_xlfn.TEXTBEFORE(_xlfn.TEXTAFTER(CI5,"|",3),"|")))</f>
        <v>2</v>
      </c>
      <c r="CL5" t="str">
        <f>IF(CI5="","",TRIM(_xlfn.TEXTBEFORE(_xlfn.TEXTAFTER(CI5,"|",2),"|")))</f>
        <v>Responsible personnel receive training</v>
      </c>
      <c r="CM5" t="str">
        <f t="shared" ref="CM5:CM13" si="27">CJ5</f>
        <v>4.2.2.</v>
      </c>
      <c r="CN5" t="s">
        <v>495</v>
      </c>
      <c r="CO5" s="492" t="s">
        <v>1363</v>
      </c>
      <c r="CP5" t="str">
        <f t="shared" ref="CP5:CP13" si="28">IF(CO5="","",_xlfn.CONCAT(CP$2,$B5,"."))</f>
        <v>4.3.2.</v>
      </c>
      <c r="CQ5" t="str">
        <f>IF(CO5="","",TRIM(_xlfn.TEXTBEFORE(_xlfn.TEXTAFTER(CO5,"|",3),"|")))</f>
        <v>2</v>
      </c>
      <c r="CR5" t="str">
        <f>IF(CO5="","",TRIM(_xlfn.TEXTBEFORE(_xlfn.TEXTAFTER(CO5,"|",2),"|")))</f>
        <v>Disclose PKI information</v>
      </c>
      <c r="CS5" t="str">
        <f t="shared" ref="CS5:CS13" si="29">CP5</f>
        <v>4.3.2.</v>
      </c>
      <c r="CT5" t="s">
        <v>495</v>
      </c>
      <c r="CU5" s="492" t="s">
        <v>1404</v>
      </c>
      <c r="CV5" t="str">
        <f>IF(CU5="","",VLOOKUP(_xlfn.TEXTBEFORE(_xlfn.TEXTAFTER(CU5,"["),"]"),tech!$E$117:$F$131,2,0))</f>
        <v>1.2.</v>
      </c>
      <c r="CW5" t="str">
        <f t="shared" ref="CW5:CW23" si="30">IF(CU5="","",TRIM(_xlfn.TEXTBEFORE(_xlfn.TEXTAFTER(CU5,"|",3),"|")))</f>
        <v>Formal policies and practice statements for supported PKI services and use-cases. Formal management of agreements between parties involved in the PKI.</v>
      </c>
      <c r="CX5" t="s">
        <v>495</v>
      </c>
      <c r="CY5" s="492" t="s">
        <v>1421</v>
      </c>
      <c r="CZ5" t="str">
        <f t="shared" ref="CZ5:CZ23" si="31">IF(CY5="","",SUBSTITUTE(TRIM(_xlfn.TEXTBEFORE(_xlfn.TEXTAFTER(CY5,"|"),"|")),"*",""))</f>
        <v>Policies and documentation</v>
      </c>
      <c r="DA5" t="str">
        <f t="shared" ref="DA5:DA23" si="32">IF(CY5="","",TRIM(_xlfn.TEXTBEFORE(_xlfn.TEXTAFTER(CY5,"|",2),"|")))</f>
        <v>4</v>
      </c>
      <c r="DB5" t="s">
        <v>495</v>
      </c>
    </row>
    <row r="6" spans="1:106" x14ac:dyDescent="0.25">
      <c r="A6" s="83" t="s">
        <v>1453</v>
      </c>
      <c r="B6" s="247">
        <v>3</v>
      </c>
      <c r="C6" s="492" t="s">
        <v>487</v>
      </c>
      <c r="D6" t="str">
        <f>TRIM(_xlfn.TEXTBEFORE(_xlfn.TEXTAFTER(C6,"|"),"|"))</f>
        <v>3</v>
      </c>
      <c r="G6" t="str">
        <f t="shared" si="0"/>
        <v>Process is characterized by organizational standards and controls are proactive</v>
      </c>
      <c r="H6" t="s">
        <v>495</v>
      </c>
      <c r="I6" s="492" t="s">
        <v>493</v>
      </c>
      <c r="J6" t="str">
        <f>IF(I6="","",_xlfn.CONCAT($J$2,$B6,"."))</f>
        <v>1.1.3.</v>
      </c>
      <c r="K6" t="str">
        <f>IF(I6="","",TRIM(_xlfn.TEXTBEFORE(_xlfn.TEXTAFTER(I6,"|",3),"|")))</f>
        <v>2</v>
      </c>
      <c r="L6" t="str">
        <f>IF(I6="","",TRIM(_xlfn.TEXTBEFORE(_xlfn.TEXTAFTER(I6,"|",2),"|")))</f>
        <v>Scope and business drivers for PKI</v>
      </c>
      <c r="M6" t="str">
        <f t="shared" si="1"/>
        <v>1.1.3.</v>
      </c>
      <c r="N6" t="s">
        <v>495</v>
      </c>
      <c r="O6" s="492" t="s">
        <v>544</v>
      </c>
      <c r="P6" t="str">
        <f t="shared" si="2"/>
        <v>1.2.3.</v>
      </c>
      <c r="Q6" t="str">
        <f>IF(O6="","",TRIM(_xlfn.TEXTBEFORE(_xlfn.TEXTAFTER(O6,"|",3),"|")))</f>
        <v>5</v>
      </c>
      <c r="R6" t="str">
        <f>IF(O6="","",TRIM(_xlfn.TEXTBEFORE(_xlfn.TEXTAFTER(O6,"|",2),"|")))</f>
        <v>Certification Practice Statement is documented and published</v>
      </c>
      <c r="S6" t="str">
        <f t="shared" si="3"/>
        <v>1.2.3.</v>
      </c>
      <c r="T6" t="s">
        <v>495</v>
      </c>
      <c r="U6" s="492" t="s">
        <v>616</v>
      </c>
      <c r="V6" t="str">
        <f t="shared" si="4"/>
        <v>1.3.3.</v>
      </c>
      <c r="W6" t="str">
        <f>IF(U6="","",TRIM(_xlfn.TEXTBEFORE(_xlfn.TEXTAFTER(U6,"|",3),"|")))</f>
        <v>3</v>
      </c>
      <c r="X6" t="str">
        <f>IF(U6="","",TRIM(_xlfn.TEXTBEFORE(_xlfn.TEXTAFTER(U6,"|",2),"|")))</f>
        <v>Responsibilities for the compliance are formally defined and assigned</v>
      </c>
      <c r="Y6" t="str">
        <f t="shared" si="5"/>
        <v>1.3.3.</v>
      </c>
      <c r="Z6" t="s">
        <v>495</v>
      </c>
      <c r="AA6" s="492" t="s">
        <v>656</v>
      </c>
      <c r="AB6" t="str">
        <f t="shared" si="6"/>
        <v>1.4.3.</v>
      </c>
      <c r="AC6" t="str">
        <f>IF(AA6="","",TRIM(_xlfn.TEXTBEFORE(_xlfn.TEXTAFTER(AA6,"|",3),"|")))</f>
        <v>5</v>
      </c>
      <c r="AD6" t="str">
        <f>IF(AA6="","",TRIM(_xlfn.TEXTBEFORE(_xlfn.TEXTAFTER(AA6,"|",2),"|")))</f>
        <v>Recurring activities are executed on time</v>
      </c>
      <c r="AE6" t="str">
        <f t="shared" si="7"/>
        <v>1.4.3.</v>
      </c>
      <c r="AF6" t="s">
        <v>495</v>
      </c>
      <c r="AG6" s="492" t="s">
        <v>698</v>
      </c>
      <c r="AH6" t="str">
        <f t="shared" si="8"/>
        <v>2.1.3.</v>
      </c>
      <c r="AI6" t="str">
        <f>IF(AG6="","",TRIM(_xlfn.TEXTBEFORE(_xlfn.TEXTAFTER(AG6,"|",3),"|")))</f>
        <v>1</v>
      </c>
      <c r="AJ6" t="str">
        <f>IF(AG6="","",TRIM(_xlfn.TEXTBEFORE(_xlfn.TEXTAFTER(AG6,"|",2),"|")))</f>
        <v>Inventory of cryptographic devices is documented and maintained</v>
      </c>
      <c r="AK6" t="str">
        <f t="shared" si="9"/>
        <v>2.1.3.</v>
      </c>
      <c r="AL6" t="s">
        <v>495</v>
      </c>
      <c r="AM6" s="492" t="s">
        <v>772</v>
      </c>
      <c r="AN6" t="str">
        <f t="shared" si="10"/>
        <v>2.2.3.</v>
      </c>
      <c r="AO6" t="str">
        <f>IF(AM6="","",TRIM(_xlfn.TEXTBEFORE(_xlfn.TEXTAFTER(AM6,"|",3),"|")))</f>
        <v>4</v>
      </c>
      <c r="AP6" t="str">
        <f>IF(AM6="","",TRIM(_xlfn.TEXTBEFORE(_xlfn.TEXTAFTER(AM6,"|",2),"|")))</f>
        <v>Certificate lifecycle management is documented</v>
      </c>
      <c r="AQ6" t="str">
        <f t="shared" si="11"/>
        <v>2.2.3.</v>
      </c>
      <c r="AR6" t="s">
        <v>495</v>
      </c>
      <c r="AS6" s="492" t="s">
        <v>889</v>
      </c>
      <c r="AT6" t="str">
        <f t="shared" si="12"/>
        <v>2.3.3.</v>
      </c>
      <c r="AU6" t="str">
        <f>IF(AS6="","",TRIM(_xlfn.TEXTBEFORE(_xlfn.TEXTAFTER(AS6,"|",3),"|")))</f>
        <v>3</v>
      </c>
      <c r="AV6" t="str">
        <f>IF(AS6="","",TRIM(_xlfn.TEXTBEFORE(_xlfn.TEXTAFTER(AS6,"|",2),"|")))</f>
        <v>Network vulnerability management is implemented and maintained</v>
      </c>
      <c r="AW6" t="str">
        <f t="shared" si="13"/>
        <v>2.3.3.</v>
      </c>
      <c r="AX6" t="s">
        <v>495</v>
      </c>
      <c r="AY6" s="492" t="s">
        <v>957</v>
      </c>
      <c r="AZ6" t="str">
        <f t="shared" si="14"/>
        <v>2.4.3.</v>
      </c>
      <c r="BA6" t="str">
        <f>IF(AY6="","",TRIM(_xlfn.TEXTBEFORE(_xlfn.TEXTAFTER(AY6,"|",3),"|")))</f>
        <v>4</v>
      </c>
      <c r="BB6" t="str">
        <f>IF(AY6="","",TRIM(_xlfn.TEXTBEFORE(_xlfn.TEXTAFTER(AY6,"|",2),"|")))</f>
        <v>The change management process is documented and implemented</v>
      </c>
      <c r="BC6" t="str">
        <f t="shared" si="15"/>
        <v>2.4.3.</v>
      </c>
      <c r="BD6" t="s">
        <v>495</v>
      </c>
      <c r="BE6" s="492" t="s">
        <v>1014</v>
      </c>
      <c r="BF6" t="str">
        <f t="shared" si="16"/>
        <v>3.1.3.</v>
      </c>
      <c r="BG6" t="str">
        <f>IF(BE6="","",TRIM(_xlfn.TEXTBEFORE(_xlfn.TEXTAFTER(BE6,"|",3),"|")))</f>
        <v>5</v>
      </c>
      <c r="BH6" t="str">
        <f>IF(BE6="","",TRIM(_xlfn.TEXTBEFORE(_xlfn.TEXTAFTER(BE6,"|",2),"|")))</f>
        <v>Business continuity planning and disaster recovery</v>
      </c>
      <c r="BI6" t="str">
        <f t="shared" si="17"/>
        <v>3.1.3.</v>
      </c>
      <c r="BJ6" t="s">
        <v>495</v>
      </c>
      <c r="BK6" s="492" t="s">
        <v>1091</v>
      </c>
      <c r="BL6" t="str">
        <f t="shared" si="18"/>
        <v>3.2.3.</v>
      </c>
      <c r="BM6" t="str">
        <f>IF(BK6="","",TRIM(_xlfn.TEXTBEFORE(_xlfn.TEXTAFTER(BK6,"|",3),"|")))</f>
        <v>3</v>
      </c>
      <c r="BN6" t="str">
        <f>IF(BK6="","",TRIM(_xlfn.TEXTBEFORE(_xlfn.TEXTAFTER(BK6,"|",2),"|")))</f>
        <v>Adoption and application of open standards</v>
      </c>
      <c r="BO6" t="str">
        <f t="shared" si="19"/>
        <v>3.2.3.</v>
      </c>
      <c r="BP6" t="s">
        <v>495</v>
      </c>
      <c r="BQ6" s="492" t="s">
        <v>1138</v>
      </c>
      <c r="BR6" t="str">
        <f t="shared" si="20"/>
        <v>3.3.3.</v>
      </c>
      <c r="BS6" t="str">
        <f>IF(BQ6="","",TRIM(_xlfn.TEXTBEFORE(_xlfn.TEXTAFTER(BQ6,"|",3),"|")))</f>
        <v>5</v>
      </c>
      <c r="BT6" t="str">
        <f>IF(BQ6="","",TRIM(_xlfn.TEXTBEFORE(_xlfn.TEXTAFTER(BQ6,"|",2),"|")))</f>
        <v>Audit trail can be reconstructed from audit logs</v>
      </c>
      <c r="BU6" t="str">
        <f t="shared" si="21"/>
        <v>3.3.3.</v>
      </c>
      <c r="BV6" t="s">
        <v>495</v>
      </c>
      <c r="BW6" s="492" t="s">
        <v>1213</v>
      </c>
      <c r="BX6" t="str">
        <f t="shared" si="22"/>
        <v>3.4.3.</v>
      </c>
      <c r="BY6" t="str">
        <f>IF(BW6="","",TRIM(_xlfn.TEXTBEFORE(_xlfn.TEXTAFTER(BW6,"|",3),"|")))</f>
        <v>1</v>
      </c>
      <c r="BZ6" t="str">
        <f>IF(BW6="","",TRIM(_xlfn.TEXTBEFORE(_xlfn.TEXTAFTER(BW6,"|",2),"|")))</f>
        <v>Incidents and exceptions handling</v>
      </c>
      <c r="CA6" t="str">
        <f t="shared" si="23"/>
        <v>3.4.3.</v>
      </c>
      <c r="CB6" t="s">
        <v>495</v>
      </c>
      <c r="CC6" s="492" t="s">
        <v>1253</v>
      </c>
      <c r="CD6" t="str">
        <f t="shared" si="24"/>
        <v>4.1.3.</v>
      </c>
      <c r="CE6" t="str">
        <f>IF(CC6="","",TRIM(_xlfn.TEXTBEFORE(_xlfn.TEXTAFTER(CC6,"|",3),"|")))</f>
        <v>4</v>
      </c>
      <c r="CF6" t="str">
        <f>IF(CC6="","",TRIM(_xlfn.TEXTBEFORE(_xlfn.TEXTAFTER(CC6,"|",2),"|")))</f>
        <v>Availability of resources</v>
      </c>
      <c r="CG6" t="str">
        <f t="shared" si="25"/>
        <v>4.1.3.</v>
      </c>
      <c r="CH6" t="s">
        <v>495</v>
      </c>
      <c r="CI6" s="492" t="s">
        <v>1287</v>
      </c>
      <c r="CJ6" t="str">
        <f t="shared" si="26"/>
        <v>4.2.3.</v>
      </c>
      <c r="CK6" t="str">
        <f>IF(CI6="","",TRIM(_xlfn.TEXTBEFORE(_xlfn.TEXTAFTER(CI6,"|",3),"|")))</f>
        <v>2</v>
      </c>
      <c r="CL6" t="str">
        <f>IF(CI6="","",TRIM(_xlfn.TEXTBEFORE(_xlfn.TEXTAFTER(CI6,"|",2),"|")))</f>
        <v>Perform security awareness training</v>
      </c>
      <c r="CM6" t="str">
        <f t="shared" si="27"/>
        <v>4.2.3.</v>
      </c>
      <c r="CN6" t="s">
        <v>495</v>
      </c>
      <c r="CO6" s="492" t="s">
        <v>1364</v>
      </c>
      <c r="CP6" t="str">
        <f t="shared" si="28"/>
        <v>4.3.3.</v>
      </c>
      <c r="CQ6" t="str">
        <f>IF(CO6="","",TRIM(_xlfn.TEXTBEFORE(_xlfn.TEXTAFTER(CO6,"|",3),"|")))</f>
        <v>1</v>
      </c>
      <c r="CR6" t="str">
        <f>IF(CO6="","",TRIM(_xlfn.TEXTBEFORE(_xlfn.TEXTAFTER(CO6,"|",2),"|")))</f>
        <v>Establish single point of contact</v>
      </c>
      <c r="CS6" t="str">
        <f t="shared" si="29"/>
        <v>4.3.3.</v>
      </c>
      <c r="CT6" t="s">
        <v>495</v>
      </c>
      <c r="CU6" s="492" t="s">
        <v>1405</v>
      </c>
      <c r="CV6" t="str">
        <f>IF(CU6="","",VLOOKUP(_xlfn.TEXTBEFORE(_xlfn.TEXTAFTER(CU6,"["),"]"),tech!$E$117:$F$131,2,0))</f>
        <v>1.3.</v>
      </c>
      <c r="CW6" t="str">
        <f t="shared" si="30"/>
        <v>Adherence to standards and applicable regulations and requirements for the PKI and trust services. Standards and regulations may be internal or external, country specific or purpose specific.</v>
      </c>
      <c r="CX6" t="s">
        <v>495</v>
      </c>
      <c r="CY6" s="492" t="s">
        <v>1422</v>
      </c>
      <c r="CZ6" t="str">
        <f t="shared" si="31"/>
        <v>Compliance</v>
      </c>
      <c r="DA6" t="str">
        <f t="shared" si="32"/>
        <v>2</v>
      </c>
      <c r="DB6" t="s">
        <v>495</v>
      </c>
    </row>
    <row r="7" spans="1:106" x14ac:dyDescent="0.25">
      <c r="A7" s="500" t="s">
        <v>1454</v>
      </c>
      <c r="B7" s="247">
        <v>4</v>
      </c>
      <c r="C7" s="492" t="s">
        <v>488</v>
      </c>
      <c r="D7" t="str">
        <f>TRIM(_xlfn.TEXTBEFORE(_xlfn.TEXTAFTER(C7,"|"),"|"))</f>
        <v>4</v>
      </c>
      <c r="G7" t="str">
        <f t="shared" si="0"/>
        <v>Processes are measured and controlled, proactive approach</v>
      </c>
      <c r="H7" t="s">
        <v>495</v>
      </c>
      <c r="I7" s="492" t="s">
        <v>494</v>
      </c>
      <c r="J7" t="str">
        <f>IF(I7="","",_xlfn.CONCAT($J$2,$B7,"."))</f>
        <v>1.1.4.</v>
      </c>
      <c r="K7" t="str">
        <f>IF(I7="","",TRIM(_xlfn.TEXTBEFORE(_xlfn.TEXTAFTER(I7,"|",3),"|")))</f>
        <v>1</v>
      </c>
      <c r="L7" t="str">
        <f>IF(I7="","",TRIM(_xlfn.TEXTBEFORE(_xlfn.TEXTAFTER(I7,"|",2),"|")))</f>
        <v>Architecture and design of the PKI</v>
      </c>
      <c r="M7" t="str">
        <f t="shared" si="1"/>
        <v>1.1.4.</v>
      </c>
      <c r="N7" t="s">
        <v>495</v>
      </c>
      <c r="O7" s="492" t="s">
        <v>545</v>
      </c>
      <c r="P7" t="str">
        <f t="shared" si="2"/>
        <v>1.2.4.</v>
      </c>
      <c r="Q7" t="str">
        <f>IF(O7="","",TRIM(_xlfn.TEXTBEFORE(_xlfn.TEXTAFTER(O7,"|",3),"|")))</f>
        <v>4</v>
      </c>
      <c r="R7" t="str">
        <f>IF(O7="","",TRIM(_xlfn.TEXTBEFORE(_xlfn.TEXTAFTER(O7,"|",2),"|")))</f>
        <v>Disclosure statement is documented and published</v>
      </c>
      <c r="S7" t="str">
        <f t="shared" si="3"/>
        <v>1.2.4.</v>
      </c>
      <c r="T7" t="s">
        <v>495</v>
      </c>
      <c r="U7" s="492" t="s">
        <v>617</v>
      </c>
      <c r="V7" t="str">
        <f t="shared" si="4"/>
        <v>1.3.4.</v>
      </c>
      <c r="W7" t="str">
        <f>IF(U7="","",TRIM(_xlfn.TEXTBEFORE(_xlfn.TEXTAFTER(U7,"|",3),"|")))</f>
        <v>5</v>
      </c>
      <c r="X7" t="str">
        <f>IF(U7="","",TRIM(_xlfn.TEXTBEFORE(_xlfn.TEXTAFTER(U7,"|",2),"|")))</f>
        <v>List of relevant laws, regulations, and standards, exist and is maintained</v>
      </c>
      <c r="Y7" t="str">
        <f t="shared" si="5"/>
        <v>1.3.4.</v>
      </c>
      <c r="Z7" t="s">
        <v>495</v>
      </c>
      <c r="AA7" s="492" t="s">
        <v>657</v>
      </c>
      <c r="AB7" t="str">
        <f t="shared" si="6"/>
        <v>1.4.4.</v>
      </c>
      <c r="AC7" t="str">
        <f>IF(AA7="","",TRIM(_xlfn.TEXTBEFORE(_xlfn.TEXTAFTER(AA7,"|",3),"|")))</f>
        <v>3</v>
      </c>
      <c r="AD7" t="str">
        <f>IF(AA7="","",TRIM(_xlfn.TEXTBEFORE(_xlfn.TEXTAFTER(AA7,"|",2),"|")))</f>
        <v>Evidence from procedures is collected and maintained</v>
      </c>
      <c r="AE7" t="str">
        <f t="shared" si="7"/>
        <v>1.4.4.</v>
      </c>
      <c r="AF7" t="s">
        <v>495</v>
      </c>
      <c r="AG7" s="492" t="s">
        <v>699</v>
      </c>
      <c r="AH7" t="str">
        <f t="shared" si="8"/>
        <v>2.1.4.</v>
      </c>
      <c r="AI7" t="str">
        <f>IF(AG7="","",TRIM(_xlfn.TEXTBEFORE(_xlfn.TEXTAFTER(AG7,"|",3),"|")))</f>
        <v>2</v>
      </c>
      <c r="AJ7" t="str">
        <f>IF(AG7="","",TRIM(_xlfn.TEXTBEFORE(_xlfn.TEXTAFTER(AG7,"|",2),"|")))</f>
        <v>Each cryptographic key is defined and has documented lifecycle procedures</v>
      </c>
      <c r="AK7" t="str">
        <f t="shared" si="9"/>
        <v>2.1.4.</v>
      </c>
      <c r="AL7" t="s">
        <v>495</v>
      </c>
      <c r="AM7" s="492" t="s">
        <v>773</v>
      </c>
      <c r="AN7" t="str">
        <f t="shared" si="10"/>
        <v>2.2.4.</v>
      </c>
      <c r="AO7" t="str">
        <f>IF(AM7="","",TRIM(_xlfn.TEXTBEFORE(_xlfn.TEXTAFTER(AM7,"|",3),"|")))</f>
        <v>3</v>
      </c>
      <c r="AP7" t="str">
        <f>IF(AM7="","",TRIM(_xlfn.TEXTBEFORE(_xlfn.TEXTAFTER(AM7,"|",2),"|")))</f>
        <v>Inventory of issued certificates is documented</v>
      </c>
      <c r="AQ7" t="str">
        <f t="shared" si="11"/>
        <v>2.2.4.</v>
      </c>
      <c r="AR7" t="s">
        <v>495</v>
      </c>
      <c r="AS7" s="492" t="s">
        <v>890</v>
      </c>
      <c r="AT7" t="str">
        <f t="shared" si="12"/>
        <v>2.3.4.</v>
      </c>
      <c r="AU7" t="str">
        <f>IF(AS7="","",TRIM(_xlfn.TEXTBEFORE(_xlfn.TEXTAFTER(AS7,"|",3),"|")))</f>
        <v>1</v>
      </c>
      <c r="AV7" t="str">
        <f>IF(AS7="","",TRIM(_xlfn.TEXTBEFORE(_xlfn.TEXTAFTER(AS7,"|",2),"|")))</f>
        <v>Infrastructure recovery objectives controls</v>
      </c>
      <c r="AW7" t="str">
        <f t="shared" si="13"/>
        <v>2.3.4.</v>
      </c>
      <c r="AX7" t="s">
        <v>495</v>
      </c>
      <c r="AY7" s="492" t="s">
        <v>958</v>
      </c>
      <c r="AZ7" t="str">
        <f t="shared" si="14"/>
        <v>2.4.4.</v>
      </c>
      <c r="BA7" t="str">
        <f>IF(AY7="","",TRIM(_xlfn.TEXTBEFORE(_xlfn.TEXTAFTER(AY7,"|",3),"|")))</f>
        <v>2</v>
      </c>
      <c r="BB7" t="str">
        <f>IF(AY7="","",TRIM(_xlfn.TEXTBEFORE(_xlfn.TEXTAFTER(AY7,"|",2),"|")))</f>
        <v>Requirements for agility are identified</v>
      </c>
      <c r="BC7" t="str">
        <f t="shared" si="15"/>
        <v>2.4.4.</v>
      </c>
      <c r="BD7" t="s">
        <v>495</v>
      </c>
      <c r="BE7" s="492" t="s">
        <v>1015</v>
      </c>
      <c r="BF7" t="str">
        <f t="shared" si="16"/>
        <v>3.1.4.</v>
      </c>
      <c r="BG7" t="str">
        <f>IF(BE7="","",TRIM(_xlfn.TEXTBEFORE(_xlfn.TEXTAFTER(BE7,"|",3),"|")))</f>
        <v>3</v>
      </c>
      <c r="BH7" t="str">
        <f>IF(BE7="","",TRIM(_xlfn.TEXTBEFORE(_xlfn.TEXTAFTER(BE7,"|",2),"|")))</f>
        <v>Technology future proofing</v>
      </c>
      <c r="BI7" t="str">
        <f t="shared" si="17"/>
        <v>3.1.4.</v>
      </c>
      <c r="BJ7" t="s">
        <v>495</v>
      </c>
      <c r="BK7" s="492"/>
      <c r="BL7" t="str">
        <f t="shared" si="18"/>
        <v/>
      </c>
      <c r="BM7" t="str">
        <f>IF(BK7="","",TRIM(_xlfn.TEXTBEFORE(_xlfn.TEXTAFTER(BK7,"|",3),"|")))</f>
        <v/>
      </c>
      <c r="BN7" t="str">
        <f>IF(BK7="","",TRIM(_xlfn.TEXTBEFORE(_xlfn.TEXTAFTER(BK7,"|",2),"|")))</f>
        <v/>
      </c>
      <c r="BO7" t="str">
        <f t="shared" si="19"/>
        <v/>
      </c>
      <c r="BP7" t="s">
        <v>495</v>
      </c>
      <c r="BQ7" s="492" t="s">
        <v>1139</v>
      </c>
      <c r="BR7" t="str">
        <f t="shared" si="20"/>
        <v>3.3.4.</v>
      </c>
      <c r="BS7" t="str">
        <f>IF(BQ7="","",TRIM(_xlfn.TEXTBEFORE(_xlfn.TEXTAFTER(BQ7,"|",3),"|")))</f>
        <v>5</v>
      </c>
      <c r="BT7" t="str">
        <f>IF(BQ7="","",TRIM(_xlfn.TEXTBEFORE(_xlfn.TEXTAFTER(BQ7,"|",2),"|")))</f>
        <v>Monitoring of operational and security events is implemented</v>
      </c>
      <c r="BU7" t="str">
        <f t="shared" si="21"/>
        <v>3.3.4.</v>
      </c>
      <c r="BV7" t="s">
        <v>495</v>
      </c>
      <c r="BW7" s="492"/>
      <c r="BX7" t="str">
        <f t="shared" si="22"/>
        <v/>
      </c>
      <c r="BY7" t="str">
        <f>IF(BW7="","",TRIM(_xlfn.TEXTBEFORE(_xlfn.TEXTAFTER(BW7,"|",3),"|")))</f>
        <v/>
      </c>
      <c r="BZ7" t="str">
        <f>IF(BW7="","",TRIM(_xlfn.TEXTBEFORE(_xlfn.TEXTAFTER(BW7,"|",2),"|")))</f>
        <v/>
      </c>
      <c r="CA7" t="str">
        <f t="shared" si="23"/>
        <v/>
      </c>
      <c r="CB7" t="s">
        <v>495</v>
      </c>
      <c r="CC7" s="492" t="s">
        <v>1254</v>
      </c>
      <c r="CD7" t="str">
        <f t="shared" si="24"/>
        <v>4.1.4.</v>
      </c>
      <c r="CE7" t="str">
        <f>IF(CC7="","",TRIM(_xlfn.TEXTBEFORE(_xlfn.TEXTAFTER(CC7,"|",3),"|")))</f>
        <v>3</v>
      </c>
      <c r="CF7" t="str">
        <f>IF(CC7="","",TRIM(_xlfn.TEXTBEFORE(_xlfn.TEXTAFTER(CC7,"|",2),"|")))</f>
        <v>Resources are periodically reviewed</v>
      </c>
      <c r="CG7" t="str">
        <f t="shared" si="25"/>
        <v>4.1.4.</v>
      </c>
      <c r="CH7" t="s">
        <v>495</v>
      </c>
      <c r="CI7" s="492" t="s">
        <v>1288</v>
      </c>
      <c r="CJ7" t="str">
        <f t="shared" si="26"/>
        <v>4.2.4.</v>
      </c>
      <c r="CK7" t="str">
        <f>IF(CI7="","",TRIM(_xlfn.TEXTBEFORE(_xlfn.TEXTAFTER(CI7,"|",3),"|")))</f>
        <v>1</v>
      </c>
      <c r="CL7" t="str">
        <f>IF(CI7="","",TRIM(_xlfn.TEXTBEFORE(_xlfn.TEXTAFTER(CI7,"|",2),"|")))</f>
        <v>Establish education plan</v>
      </c>
      <c r="CM7" t="str">
        <f t="shared" si="27"/>
        <v>4.2.4.</v>
      </c>
      <c r="CN7" t="s">
        <v>495</v>
      </c>
      <c r="CO7" s="492" t="s">
        <v>1365</v>
      </c>
      <c r="CP7" t="str">
        <f t="shared" si="28"/>
        <v>4.3.4.</v>
      </c>
      <c r="CQ7" t="str">
        <f>IF(CO7="","",TRIM(_xlfn.TEXTBEFORE(_xlfn.TEXTAFTER(CO7,"|",3),"|")))</f>
        <v>2</v>
      </c>
      <c r="CR7" t="str">
        <f>IF(CO7="","",TRIM(_xlfn.TEXTBEFORE(_xlfn.TEXTAFTER(CO7,"|",2),"|")))</f>
        <v>Timely communication of important information</v>
      </c>
      <c r="CS7" t="str">
        <f t="shared" si="29"/>
        <v>4.3.4.</v>
      </c>
      <c r="CT7" t="s">
        <v>495</v>
      </c>
      <c r="CU7" s="492" t="s">
        <v>1406</v>
      </c>
      <c r="CV7" t="str">
        <f>IF(CU7="","",VLOOKUP(_xlfn.TEXTBEFORE(_xlfn.TEXTAFTER(CU7,"["),"]"),tech!$E$117:$F$131,2,0))</f>
        <v>1.4.</v>
      </c>
      <c r="CW7" t="str">
        <f t="shared" si="30"/>
        <v>Processes and procedures related to PKI management tasks and operational activities. This includes also the supply chain procedures and processes that includes acceptance or receipt of the HW and SW related to the PKI.</v>
      </c>
      <c r="CX7" t="s">
        <v>495</v>
      </c>
      <c r="CY7" s="492" t="s">
        <v>1423</v>
      </c>
      <c r="CZ7" t="str">
        <f t="shared" si="31"/>
        <v>Processes and procedures</v>
      </c>
      <c r="DA7" t="str">
        <f t="shared" si="32"/>
        <v>3</v>
      </c>
      <c r="DB7" t="s">
        <v>495</v>
      </c>
    </row>
    <row r="8" spans="1:106" x14ac:dyDescent="0.25">
      <c r="A8" s="83" t="s">
        <v>1451</v>
      </c>
      <c r="B8" s="247">
        <v>5</v>
      </c>
      <c r="C8" s="492" t="s">
        <v>489</v>
      </c>
      <c r="D8" t="str">
        <f>TRIM(_xlfn.TEXTBEFORE(_xlfn.TEXTAFTER(C8,"|"),"|"))</f>
        <v>5</v>
      </c>
      <c r="G8" t="str">
        <f t="shared" si="0"/>
        <v>Continuous improvement of the processes and procedures, proactive approach for future technology improvement</v>
      </c>
      <c r="H8" t="s">
        <v>495</v>
      </c>
      <c r="I8" s="492"/>
      <c r="J8" t="str">
        <f t="shared" ref="J8:J13" si="33">IF(I8="","",_xlfn.CONCAT($J$2,$B8,"."))</f>
        <v/>
      </c>
      <c r="K8" t="str">
        <f t="shared" ref="K8:K13" si="34">IF(I8="","",TRIM(_xlfn.TEXTBEFORE(_xlfn.TEXTAFTER(I8,"|",3),"|")))</f>
        <v/>
      </c>
      <c r="L8" t="str">
        <f t="shared" ref="L8:L13" si="35">IF(I8="","",TRIM(_xlfn.TEXTBEFORE(_xlfn.TEXTAFTER(I8,"|",3),"|")))</f>
        <v/>
      </c>
      <c r="M8" t="str">
        <f t="shared" si="1"/>
        <v/>
      </c>
      <c r="N8" t="s">
        <v>495</v>
      </c>
      <c r="O8" s="492" t="s">
        <v>546</v>
      </c>
      <c r="P8" t="str">
        <f t="shared" si="2"/>
        <v>1.2.5.</v>
      </c>
      <c r="Q8" t="str">
        <f t="shared" ref="Q8:Q13" si="36">IF(O8="","",TRIM(_xlfn.TEXTBEFORE(_xlfn.TEXTAFTER(O8,"|",3),"|")))</f>
        <v>3</v>
      </c>
      <c r="R8" t="str">
        <f t="shared" ref="R8:R13" si="37">IF(O8="","",TRIM(_xlfn.TEXTBEFORE(_xlfn.TEXTAFTER(O8,"|",2),"|")))</f>
        <v>Policies are periodically reviewed and updated</v>
      </c>
      <c r="S8" t="str">
        <f t="shared" si="3"/>
        <v>1.2.5.</v>
      </c>
      <c r="T8" t="s">
        <v>495</v>
      </c>
      <c r="U8" s="492"/>
      <c r="V8" t="str">
        <f t="shared" si="4"/>
        <v/>
      </c>
      <c r="W8" t="str">
        <f t="shared" ref="W8:W13" si="38">IF(U8="","",TRIM(_xlfn.TEXTBEFORE(_xlfn.TEXTAFTER(U8,"|",3),"|")))</f>
        <v/>
      </c>
      <c r="X8" t="str">
        <f t="shared" ref="X8:X13" si="39">IF(U8="","",TRIM(_xlfn.TEXTBEFORE(_xlfn.TEXTAFTER(U8,"|",2),"|")))</f>
        <v/>
      </c>
      <c r="Y8" t="str">
        <f t="shared" si="5"/>
        <v/>
      </c>
      <c r="Z8" t="s">
        <v>495</v>
      </c>
      <c r="AA8" s="492" t="s">
        <v>658</v>
      </c>
      <c r="AB8" t="str">
        <f t="shared" si="6"/>
        <v>1.4.5.</v>
      </c>
      <c r="AC8" t="str">
        <f t="shared" ref="AC8:AC13" si="40">IF(AA8="","",TRIM(_xlfn.TEXTBEFORE(_xlfn.TEXTAFTER(AA8,"|",3),"|")))</f>
        <v>2</v>
      </c>
      <c r="AD8" t="str">
        <f t="shared" ref="AD8:AD13" si="41">IF(AA8="","",TRIM(_xlfn.TEXTBEFORE(_xlfn.TEXTAFTER(AA8,"|",2),"|")))</f>
        <v>Processes and procedures are reviewed and updated</v>
      </c>
      <c r="AE8" t="str">
        <f t="shared" si="7"/>
        <v>1.4.5.</v>
      </c>
      <c r="AF8" t="s">
        <v>495</v>
      </c>
      <c r="AG8" s="492" t="s">
        <v>700</v>
      </c>
      <c r="AH8" t="str">
        <f t="shared" si="8"/>
        <v>2.1.5.</v>
      </c>
      <c r="AI8" t="str">
        <f t="shared" ref="AI8:AI13" si="42">IF(AG8="","",TRIM(_xlfn.TEXTBEFORE(_xlfn.TEXTAFTER(AG8,"|",3),"|")))</f>
        <v>2</v>
      </c>
      <c r="AJ8" t="str">
        <f t="shared" ref="AJ8:AJ13" si="43">IF(AG8="","",TRIM(_xlfn.TEXTBEFORE(_xlfn.TEXTAFTER(AG8,"|",2),"|")))</f>
        <v>Cryptographic cipher suites and protocols are documented and maintained</v>
      </c>
      <c r="AK8" t="str">
        <f t="shared" si="9"/>
        <v>2.1.5.</v>
      </c>
      <c r="AL8" t="s">
        <v>495</v>
      </c>
      <c r="AM8" s="492" t="s">
        <v>774</v>
      </c>
      <c r="AN8" t="str">
        <f t="shared" si="10"/>
        <v>2.2.5.</v>
      </c>
      <c r="AO8" t="str">
        <f t="shared" ref="AO8:AO13" si="44">IF(AM8="","",TRIM(_xlfn.TEXTBEFORE(_xlfn.TEXTAFTER(AM8,"|",3),"|")))</f>
        <v>2</v>
      </c>
      <c r="AP8" t="str">
        <f t="shared" ref="AP8:AP13" si="45">IF(AM8="","",TRIM(_xlfn.TEXTBEFORE(_xlfn.TEXTAFTER(AM8,"|",2),"|")))</f>
        <v>Certificate discovery process is documented</v>
      </c>
      <c r="AQ8" t="str">
        <f t="shared" si="11"/>
        <v>2.2.5.</v>
      </c>
      <c r="AR8" t="s">
        <v>495</v>
      </c>
      <c r="AS8" s="492" t="s">
        <v>891</v>
      </c>
      <c r="AT8" t="str">
        <f t="shared" si="12"/>
        <v>2.3.5.</v>
      </c>
      <c r="AU8" t="str">
        <f t="shared" ref="AU8:AU13" si="46">IF(AS8="","",TRIM(_xlfn.TEXTBEFORE(_xlfn.TEXTAFTER(AS8,"|",3),"|")))</f>
        <v>2</v>
      </c>
      <c r="AV8" t="str">
        <f t="shared" ref="AV8:AV13" si="47">IF(AS8="","",TRIM(_xlfn.TEXTBEFORE(_xlfn.TEXTAFTER(AS8,"|",2),"|")))</f>
        <v>Infrastructure activities are periodically reviewed</v>
      </c>
      <c r="AW8" t="str">
        <f t="shared" si="13"/>
        <v>2.3.5.</v>
      </c>
      <c r="AX8" t="s">
        <v>495</v>
      </c>
      <c r="AY8" s="492" t="s">
        <v>959</v>
      </c>
      <c r="AZ8" t="str">
        <f t="shared" si="14"/>
        <v>2.4.5.</v>
      </c>
      <c r="BA8" t="str">
        <f t="shared" ref="BA8:BA13" si="48">IF(AY8="","",TRIM(_xlfn.TEXTBEFORE(_xlfn.TEXTAFTER(AY8,"|",3),"|")))</f>
        <v>2</v>
      </c>
      <c r="BB8" t="str">
        <f t="shared" ref="BB8:BB13" si="49">IF(AY8="","",TRIM(_xlfn.TEXTBEFORE(_xlfn.TEXTAFTER(AY8,"|",2),"|")))</f>
        <v>Change management and agility is periodically reviewed</v>
      </c>
      <c r="BC8" t="str">
        <f t="shared" si="15"/>
        <v>2.4.5.</v>
      </c>
      <c r="BD8" t="s">
        <v>495</v>
      </c>
      <c r="BE8" s="492" t="s">
        <v>1016</v>
      </c>
      <c r="BF8" t="str">
        <f t="shared" si="16"/>
        <v>3.1.5.</v>
      </c>
      <c r="BG8" t="str">
        <f t="shared" ref="BG8:BG13" si="50">IF(BE8="","",TRIM(_xlfn.TEXTBEFORE(_xlfn.TEXTAFTER(BE8,"|",3),"|")))</f>
        <v>3</v>
      </c>
      <c r="BH8" t="str">
        <f t="shared" ref="BH8:BH13" si="51">IF(BE8="","",TRIM(_xlfn.TEXTBEFORE(_xlfn.TEXTAFTER(BE8,"|",2),"|")))</f>
        <v>Competence and information sharing</v>
      </c>
      <c r="BI8" t="str">
        <f t="shared" si="17"/>
        <v>3.1.5.</v>
      </c>
      <c r="BJ8" t="s">
        <v>495</v>
      </c>
      <c r="BK8" s="492"/>
      <c r="BL8" t="str">
        <f t="shared" si="18"/>
        <v/>
      </c>
      <c r="BM8" t="str">
        <f t="shared" ref="BM8:BM13" si="52">IF(BK8="","",TRIM(_xlfn.TEXTBEFORE(_xlfn.TEXTAFTER(BK8,"|",3),"|")))</f>
        <v/>
      </c>
      <c r="BN8" t="str">
        <f t="shared" ref="BN8:BN13" si="53">IF(BK8="","",TRIM(_xlfn.TEXTBEFORE(_xlfn.TEXTAFTER(BK8,"|",2),"|")))</f>
        <v/>
      </c>
      <c r="BO8" t="str">
        <f t="shared" si="19"/>
        <v/>
      </c>
      <c r="BP8" t="s">
        <v>495</v>
      </c>
      <c r="BQ8" s="492" t="s">
        <v>1140</v>
      </c>
      <c r="BR8" t="str">
        <f t="shared" si="20"/>
        <v>3.3.5.</v>
      </c>
      <c r="BS8" t="str">
        <f t="shared" ref="BS8:BS13" si="54">IF(BQ8="","",TRIM(_xlfn.TEXTBEFORE(_xlfn.TEXTAFTER(BQ8,"|",3),"|")))</f>
        <v>3</v>
      </c>
      <c r="BT8" t="str">
        <f t="shared" ref="BT8:BT13" si="55">IF(BQ8="","",TRIM(_xlfn.TEXTBEFORE(_xlfn.TEXTAFTER(BQ8,"|",2),"|")))</f>
        <v>Critical events are immediately alerted and resolved according to incident response plans</v>
      </c>
      <c r="BU8" t="str">
        <f t="shared" si="21"/>
        <v>3.3.5.</v>
      </c>
      <c r="BV8" t="s">
        <v>495</v>
      </c>
      <c r="BW8" s="492"/>
      <c r="BX8" t="str">
        <f t="shared" si="22"/>
        <v/>
      </c>
      <c r="BY8" t="str">
        <f t="shared" ref="BY8:BY13" si="56">IF(BW8="","",TRIM(_xlfn.TEXTBEFORE(_xlfn.TEXTAFTER(BW8,"|",3),"|")))</f>
        <v/>
      </c>
      <c r="BZ8" t="str">
        <f t="shared" ref="BZ8:BZ13" si="57">IF(BW8="","",TRIM(_xlfn.TEXTBEFORE(_xlfn.TEXTAFTER(BW8,"|",2),"|")))</f>
        <v/>
      </c>
      <c r="CA8" t="str">
        <f t="shared" si="23"/>
        <v/>
      </c>
      <c r="CB8" t="s">
        <v>495</v>
      </c>
      <c r="CC8" s="492"/>
      <c r="CD8" t="str">
        <f t="shared" si="24"/>
        <v/>
      </c>
      <c r="CE8" t="str">
        <f t="shared" ref="CE8:CE13" si="58">IF(CC8="","",TRIM(_xlfn.TEXTBEFORE(_xlfn.TEXTAFTER(CC8,"|",3),"|")))</f>
        <v/>
      </c>
      <c r="CF8" t="str">
        <f t="shared" ref="CF8:CF13" si="59">IF(CC8="","",TRIM(_xlfn.TEXTBEFORE(_xlfn.TEXTAFTER(CC8,"|",2),"|")))</f>
        <v/>
      </c>
      <c r="CG8" t="str">
        <f t="shared" si="25"/>
        <v/>
      </c>
      <c r="CH8" t="s">
        <v>495</v>
      </c>
      <c r="CI8" s="492" t="s">
        <v>1289</v>
      </c>
      <c r="CJ8" t="str">
        <f t="shared" si="26"/>
        <v>4.2.5.</v>
      </c>
      <c r="CK8" t="str">
        <f t="shared" ref="CK8:CK13" si="60">IF(CI8="","",TRIM(_xlfn.TEXTBEFORE(_xlfn.TEXTAFTER(CI8,"|",3),"|")))</f>
        <v>2</v>
      </c>
      <c r="CL8" t="str">
        <f t="shared" ref="CL8:CL13" si="61">IF(CI8="","",TRIM(_xlfn.TEXTBEFORE(_xlfn.TEXTAFTER(CI8,"|",2),"|")))</f>
        <v>Periodically review knowledge</v>
      </c>
      <c r="CM8" t="str">
        <f t="shared" si="27"/>
        <v>4.2.5.</v>
      </c>
      <c r="CN8" t="s">
        <v>495</v>
      </c>
      <c r="CO8" s="492"/>
      <c r="CP8" t="str">
        <f t="shared" si="28"/>
        <v/>
      </c>
      <c r="CQ8" t="str">
        <f t="shared" ref="CQ8:CQ13" si="62">IF(CO8="","",TRIM(_xlfn.TEXTBEFORE(_xlfn.TEXTAFTER(CO8,"|",3),"|")))</f>
        <v/>
      </c>
      <c r="CR8" t="str">
        <f t="shared" ref="CR8:CR13" si="63">IF(CO8="","",TRIM(_xlfn.TEXTBEFORE(_xlfn.TEXTAFTER(CO8,"|",2),"|")))</f>
        <v/>
      </c>
      <c r="CS8" t="str">
        <f t="shared" si="29"/>
        <v/>
      </c>
      <c r="CT8" t="s">
        <v>495</v>
      </c>
      <c r="CU8" s="492" t="s">
        <v>1407</v>
      </c>
      <c r="CV8" t="str">
        <f>IF(CU8="","",VLOOKUP(_xlfn.TEXTBEFORE(_xlfn.TEXTAFTER(CU8,"["),"]"),tech!$E$117:$F$131,2,0))</f>
        <v>2.1.</v>
      </c>
      <c r="CW8" t="str">
        <f t="shared" si="30"/>
        <v>Key management policy and procedures related to PKI cryptographic keys and its lifecycle. Inventory of cryptographic keys. Secure and trusted key ceremonies. Key escrow and key recovery if applicable.</v>
      </c>
      <c r="CX8" t="s">
        <v>495</v>
      </c>
      <c r="CY8" s="492" t="s">
        <v>1424</v>
      </c>
      <c r="CZ8" t="str">
        <f t="shared" si="31"/>
        <v>Key Management</v>
      </c>
      <c r="DA8" t="str">
        <f t="shared" si="32"/>
        <v>4</v>
      </c>
      <c r="DB8" t="s">
        <v>495</v>
      </c>
    </row>
    <row r="9" spans="1:106" x14ac:dyDescent="0.25">
      <c r="A9" s="83" t="s">
        <v>1455</v>
      </c>
      <c r="B9" s="247">
        <v>6</v>
      </c>
      <c r="C9" s="492"/>
      <c r="H9" t="s">
        <v>495</v>
      </c>
      <c r="I9" s="492"/>
      <c r="J9" t="str">
        <f t="shared" si="33"/>
        <v/>
      </c>
      <c r="K9" t="str">
        <f t="shared" si="34"/>
        <v/>
      </c>
      <c r="L9" t="str">
        <f t="shared" si="35"/>
        <v/>
      </c>
      <c r="M9" t="str">
        <f t="shared" si="1"/>
        <v/>
      </c>
      <c r="N9" t="s">
        <v>495</v>
      </c>
      <c r="O9" s="492"/>
      <c r="P9" t="str">
        <f t="shared" si="2"/>
        <v/>
      </c>
      <c r="Q9" t="str">
        <f t="shared" si="36"/>
        <v/>
      </c>
      <c r="R9" t="str">
        <f t="shared" si="37"/>
        <v/>
      </c>
      <c r="S9" t="str">
        <f t="shared" si="3"/>
        <v/>
      </c>
      <c r="T9" t="s">
        <v>495</v>
      </c>
      <c r="U9" s="492"/>
      <c r="V9" t="str">
        <f t="shared" si="4"/>
        <v/>
      </c>
      <c r="W9" t="str">
        <f t="shared" si="38"/>
        <v/>
      </c>
      <c r="X9" t="str">
        <f t="shared" si="39"/>
        <v/>
      </c>
      <c r="Y9" t="str">
        <f t="shared" si="5"/>
        <v/>
      </c>
      <c r="Z9" t="s">
        <v>495</v>
      </c>
      <c r="AA9" s="492"/>
      <c r="AB9" t="str">
        <f t="shared" si="6"/>
        <v/>
      </c>
      <c r="AC9" t="str">
        <f t="shared" si="40"/>
        <v/>
      </c>
      <c r="AD9" t="str">
        <f t="shared" si="41"/>
        <v/>
      </c>
      <c r="AE9" t="str">
        <f t="shared" si="7"/>
        <v/>
      </c>
      <c r="AF9" t="s">
        <v>495</v>
      </c>
      <c r="AG9" s="492" t="s">
        <v>701</v>
      </c>
      <c r="AH9" t="str">
        <f t="shared" si="8"/>
        <v>2.1.6.</v>
      </c>
      <c r="AI9" t="str">
        <f t="shared" si="42"/>
        <v>3</v>
      </c>
      <c r="AJ9" t="str">
        <f t="shared" si="43"/>
        <v>Key management is periodically reviewed and updated</v>
      </c>
      <c r="AK9" t="str">
        <f t="shared" si="9"/>
        <v>2.1.6.</v>
      </c>
      <c r="AL9" t="s">
        <v>495</v>
      </c>
      <c r="AM9" s="492" t="s">
        <v>775</v>
      </c>
      <c r="AN9" t="str">
        <f t="shared" si="10"/>
        <v>2.2.6.</v>
      </c>
      <c r="AO9" t="str">
        <f t="shared" si="44"/>
        <v>4</v>
      </c>
      <c r="AP9" t="str">
        <f t="shared" si="45"/>
        <v>Certificate management is periodically reviewed and updated</v>
      </c>
      <c r="AQ9" t="str">
        <f t="shared" si="11"/>
        <v>2.2.6.</v>
      </c>
      <c r="AR9" t="s">
        <v>495</v>
      </c>
      <c r="AS9" s="492"/>
      <c r="AT9" t="str">
        <f t="shared" si="12"/>
        <v/>
      </c>
      <c r="AU9" t="str">
        <f t="shared" si="46"/>
        <v/>
      </c>
      <c r="AV9" t="str">
        <f t="shared" si="47"/>
        <v/>
      </c>
      <c r="AW9" t="str">
        <f t="shared" si="13"/>
        <v/>
      </c>
      <c r="AX9" t="s">
        <v>495</v>
      </c>
      <c r="AY9" s="492"/>
      <c r="AZ9" t="str">
        <f t="shared" si="14"/>
        <v/>
      </c>
      <c r="BA9" t="str">
        <f t="shared" si="48"/>
        <v/>
      </c>
      <c r="BB9" t="str">
        <f t="shared" si="49"/>
        <v/>
      </c>
      <c r="BC9" t="str">
        <f t="shared" si="15"/>
        <v/>
      </c>
      <c r="BD9" t="s">
        <v>495</v>
      </c>
      <c r="BE9" s="492" t="s">
        <v>1017</v>
      </c>
      <c r="BF9" t="str">
        <f t="shared" si="16"/>
        <v>3.1.6.</v>
      </c>
      <c r="BG9" t="str">
        <f t="shared" si="50"/>
        <v>4</v>
      </c>
      <c r="BH9" t="str">
        <f t="shared" si="51"/>
        <v>Continual review and improvement</v>
      </c>
      <c r="BI9" t="str">
        <f t="shared" si="17"/>
        <v>3.1.6.</v>
      </c>
      <c r="BJ9" t="s">
        <v>495</v>
      </c>
      <c r="BK9" s="492"/>
      <c r="BL9" t="str">
        <f t="shared" si="18"/>
        <v/>
      </c>
      <c r="BM9" t="str">
        <f t="shared" si="52"/>
        <v/>
      </c>
      <c r="BN9" t="str">
        <f t="shared" si="53"/>
        <v/>
      </c>
      <c r="BO9" t="str">
        <f t="shared" si="19"/>
        <v/>
      </c>
      <c r="BP9" t="s">
        <v>495</v>
      </c>
      <c r="BQ9" s="492" t="s">
        <v>1141</v>
      </c>
      <c r="BR9" t="str">
        <f t="shared" si="20"/>
        <v>3.3.6.</v>
      </c>
      <c r="BS9" t="str">
        <f t="shared" si="54"/>
        <v>2</v>
      </c>
      <c r="BT9" t="str">
        <f t="shared" si="55"/>
        <v>Review of events and logs is periodically performed</v>
      </c>
      <c r="BU9" t="str">
        <f t="shared" si="21"/>
        <v>3.3.6.</v>
      </c>
      <c r="BV9" t="s">
        <v>495</v>
      </c>
      <c r="BW9" s="492"/>
      <c r="BX9" t="str">
        <f t="shared" si="22"/>
        <v/>
      </c>
      <c r="BY9" t="str">
        <f t="shared" si="56"/>
        <v/>
      </c>
      <c r="BZ9" t="str">
        <f t="shared" si="57"/>
        <v/>
      </c>
      <c r="CA9" t="str">
        <f t="shared" si="23"/>
        <v/>
      </c>
      <c r="CB9" t="s">
        <v>495</v>
      </c>
      <c r="CC9" s="492"/>
      <c r="CD9" t="str">
        <f t="shared" si="24"/>
        <v/>
      </c>
      <c r="CE9" t="str">
        <f t="shared" si="58"/>
        <v/>
      </c>
      <c r="CF9" t="str">
        <f t="shared" si="59"/>
        <v/>
      </c>
      <c r="CG9" t="str">
        <f t="shared" si="25"/>
        <v/>
      </c>
      <c r="CH9" t="s">
        <v>495</v>
      </c>
      <c r="CI9" s="492"/>
      <c r="CJ9" t="str">
        <f t="shared" si="26"/>
        <v/>
      </c>
      <c r="CK9" t="str">
        <f t="shared" si="60"/>
        <v/>
      </c>
      <c r="CL9" t="str">
        <f t="shared" si="61"/>
        <v/>
      </c>
      <c r="CM9" t="str">
        <f t="shared" si="27"/>
        <v/>
      </c>
      <c r="CN9" t="s">
        <v>495</v>
      </c>
      <c r="CO9" s="492"/>
      <c r="CP9" t="str">
        <f t="shared" si="28"/>
        <v/>
      </c>
      <c r="CQ9" t="str">
        <f t="shared" si="62"/>
        <v/>
      </c>
      <c r="CR9" t="str">
        <f t="shared" si="63"/>
        <v/>
      </c>
      <c r="CS9" t="str">
        <f t="shared" si="29"/>
        <v/>
      </c>
      <c r="CT9" t="s">
        <v>495</v>
      </c>
      <c r="CU9" s="492" t="s">
        <v>1408</v>
      </c>
      <c r="CV9" t="str">
        <f>IF(CU9="","",VLOOKUP(_xlfn.TEXTBEFORE(_xlfn.TEXTAFTER(CU9,"["),"]"),tech!$E$117:$F$131,2,0))</f>
        <v>2.2.</v>
      </c>
      <c r="CW9" t="str">
        <f t="shared" si="30"/>
        <v>Certificate management policy and lifecycle. Inventory of certificates. Definition of the certificate profiles and supported states of the certificate including the transitions between the states. Proper validation fo the certificates.</v>
      </c>
      <c r="CX9" t="s">
        <v>495</v>
      </c>
      <c r="CY9" s="492" t="s">
        <v>1425</v>
      </c>
      <c r="CZ9" t="str">
        <f t="shared" si="31"/>
        <v>Certificate Management</v>
      </c>
      <c r="DA9" t="str">
        <f t="shared" si="32"/>
        <v>4</v>
      </c>
      <c r="DB9" t="s">
        <v>495</v>
      </c>
    </row>
    <row r="10" spans="1:106" x14ac:dyDescent="0.25">
      <c r="A10" s="501" t="s">
        <v>1456</v>
      </c>
      <c r="B10" s="247">
        <v>7</v>
      </c>
      <c r="C10" s="492"/>
      <c r="H10" t="s">
        <v>495</v>
      </c>
      <c r="I10" s="492"/>
      <c r="J10" t="str">
        <f t="shared" si="33"/>
        <v/>
      </c>
      <c r="K10" t="str">
        <f t="shared" si="34"/>
        <v/>
      </c>
      <c r="L10" t="str">
        <f t="shared" si="35"/>
        <v/>
      </c>
      <c r="M10" t="str">
        <f t="shared" si="1"/>
        <v/>
      </c>
      <c r="N10" t="s">
        <v>495</v>
      </c>
      <c r="O10" s="492"/>
      <c r="P10" t="str">
        <f t="shared" si="2"/>
        <v/>
      </c>
      <c r="Q10" t="str">
        <f t="shared" si="36"/>
        <v/>
      </c>
      <c r="R10" t="str">
        <f t="shared" si="37"/>
        <v/>
      </c>
      <c r="S10" t="str">
        <f t="shared" si="3"/>
        <v/>
      </c>
      <c r="T10" t="s">
        <v>495</v>
      </c>
      <c r="U10" s="492"/>
      <c r="V10" t="str">
        <f t="shared" si="4"/>
        <v/>
      </c>
      <c r="W10" t="str">
        <f t="shared" si="38"/>
        <v/>
      </c>
      <c r="X10" t="str">
        <f t="shared" si="39"/>
        <v/>
      </c>
      <c r="Y10" t="str">
        <f t="shared" si="5"/>
        <v/>
      </c>
      <c r="Z10" t="s">
        <v>495</v>
      </c>
      <c r="AA10" s="492"/>
      <c r="AB10" t="str">
        <f t="shared" si="6"/>
        <v/>
      </c>
      <c r="AC10" t="str">
        <f t="shared" si="40"/>
        <v/>
      </c>
      <c r="AD10" t="str">
        <f t="shared" si="41"/>
        <v/>
      </c>
      <c r="AE10" t="str">
        <f t="shared" si="7"/>
        <v/>
      </c>
      <c r="AF10" t="s">
        <v>495</v>
      </c>
      <c r="AG10" s="492"/>
      <c r="AH10" t="str">
        <f t="shared" si="8"/>
        <v/>
      </c>
      <c r="AI10" t="str">
        <f t="shared" si="42"/>
        <v/>
      </c>
      <c r="AJ10" t="str">
        <f t="shared" si="43"/>
        <v/>
      </c>
      <c r="AK10" t="str">
        <f t="shared" si="9"/>
        <v/>
      </c>
      <c r="AL10" t="s">
        <v>495</v>
      </c>
      <c r="AM10" s="492" t="s">
        <v>776</v>
      </c>
      <c r="AN10" t="str">
        <f t="shared" si="10"/>
        <v>2.2.7.</v>
      </c>
      <c r="AO10" t="str">
        <f t="shared" si="44"/>
        <v>2</v>
      </c>
      <c r="AP10" t="str">
        <f t="shared" si="45"/>
        <v>Organizational PKI governance</v>
      </c>
      <c r="AQ10" t="str">
        <f t="shared" si="11"/>
        <v>2.2.7.</v>
      </c>
      <c r="AR10" t="s">
        <v>495</v>
      </c>
      <c r="AS10" s="492"/>
      <c r="AT10" t="str">
        <f t="shared" si="12"/>
        <v/>
      </c>
      <c r="AU10" t="str">
        <f t="shared" si="46"/>
        <v/>
      </c>
      <c r="AV10" t="str">
        <f t="shared" si="47"/>
        <v/>
      </c>
      <c r="AW10" t="str">
        <f t="shared" si="13"/>
        <v/>
      </c>
      <c r="AX10" t="s">
        <v>495</v>
      </c>
      <c r="AY10" s="492"/>
      <c r="AZ10" t="str">
        <f t="shared" si="14"/>
        <v/>
      </c>
      <c r="BA10" t="str">
        <f t="shared" si="48"/>
        <v/>
      </c>
      <c r="BB10" t="str">
        <f t="shared" si="49"/>
        <v/>
      </c>
      <c r="BC10" t="str">
        <f t="shared" si="15"/>
        <v/>
      </c>
      <c r="BD10" t="s">
        <v>495</v>
      </c>
      <c r="BE10" s="492"/>
      <c r="BF10" t="str">
        <f t="shared" si="16"/>
        <v/>
      </c>
      <c r="BG10" t="str">
        <f t="shared" si="50"/>
        <v/>
      </c>
      <c r="BH10" t="str">
        <f t="shared" si="51"/>
        <v/>
      </c>
      <c r="BI10" t="str">
        <f t="shared" si="17"/>
        <v/>
      </c>
      <c r="BJ10" t="s">
        <v>495</v>
      </c>
      <c r="BK10" s="492"/>
      <c r="BL10" t="str">
        <f t="shared" si="18"/>
        <v/>
      </c>
      <c r="BM10" t="str">
        <f t="shared" si="52"/>
        <v/>
      </c>
      <c r="BN10" t="str">
        <f t="shared" si="53"/>
        <v/>
      </c>
      <c r="BO10" t="str">
        <f t="shared" si="19"/>
        <v/>
      </c>
      <c r="BP10" t="s">
        <v>495</v>
      </c>
      <c r="BQ10" s="492"/>
      <c r="BR10" t="str">
        <f t="shared" si="20"/>
        <v/>
      </c>
      <c r="BS10" t="str">
        <f t="shared" si="54"/>
        <v/>
      </c>
      <c r="BT10" t="str">
        <f t="shared" si="55"/>
        <v/>
      </c>
      <c r="BU10" t="str">
        <f t="shared" si="21"/>
        <v/>
      </c>
      <c r="BV10" t="s">
        <v>495</v>
      </c>
      <c r="BW10" s="492"/>
      <c r="BX10" t="str">
        <f t="shared" si="22"/>
        <v/>
      </c>
      <c r="BY10" t="str">
        <f t="shared" si="56"/>
        <v/>
      </c>
      <c r="BZ10" t="str">
        <f t="shared" si="57"/>
        <v/>
      </c>
      <c r="CA10" t="str">
        <f t="shared" si="23"/>
        <v/>
      </c>
      <c r="CB10" t="s">
        <v>495</v>
      </c>
      <c r="CC10" s="492"/>
      <c r="CD10" t="str">
        <f t="shared" si="24"/>
        <v/>
      </c>
      <c r="CE10" t="str">
        <f t="shared" si="58"/>
        <v/>
      </c>
      <c r="CF10" t="str">
        <f t="shared" si="59"/>
        <v/>
      </c>
      <c r="CG10" t="str">
        <f t="shared" si="25"/>
        <v/>
      </c>
      <c r="CH10" t="s">
        <v>495</v>
      </c>
      <c r="CI10" s="492"/>
      <c r="CJ10" t="str">
        <f t="shared" si="26"/>
        <v/>
      </c>
      <c r="CK10" t="str">
        <f t="shared" si="60"/>
        <v/>
      </c>
      <c r="CL10" t="str">
        <f t="shared" si="61"/>
        <v/>
      </c>
      <c r="CM10" t="str">
        <f t="shared" si="27"/>
        <v/>
      </c>
      <c r="CN10" t="s">
        <v>495</v>
      </c>
      <c r="CO10" s="492"/>
      <c r="CP10" t="str">
        <f t="shared" si="28"/>
        <v/>
      </c>
      <c r="CQ10" t="str">
        <f t="shared" si="62"/>
        <v/>
      </c>
      <c r="CR10" t="str">
        <f t="shared" si="63"/>
        <v/>
      </c>
      <c r="CS10" t="str">
        <f t="shared" si="29"/>
        <v/>
      </c>
      <c r="CT10" t="s">
        <v>495</v>
      </c>
      <c r="CU10" s="492" t="s">
        <v>1409</v>
      </c>
      <c r="CV10" t="str">
        <f>IF(CU10="","",VLOOKUP(_xlfn.TEXTBEFORE(_xlfn.TEXTAFTER(CU10,"["),"]"),tech!$E$117:$F$131,2,0))</f>
        <v>3.2.</v>
      </c>
      <c r="CW10" t="str">
        <f t="shared" si="30"/>
        <v>Interoperability between applications, implementations, and technologies. Application of interoperable protocols and standards. Transparency and vendor lock avoidance strategy.</v>
      </c>
      <c r="CX10" t="s">
        <v>495</v>
      </c>
      <c r="CY10" s="492" t="s">
        <v>1426</v>
      </c>
      <c r="CZ10" t="str">
        <f t="shared" si="31"/>
        <v>Interoperability</v>
      </c>
      <c r="DA10" t="str">
        <f t="shared" si="32"/>
        <v>2</v>
      </c>
      <c r="DB10" t="s">
        <v>495</v>
      </c>
    </row>
    <row r="11" spans="1:106" x14ac:dyDescent="0.25">
      <c r="A11" s="83" t="s">
        <v>1452</v>
      </c>
      <c r="B11" s="247">
        <v>8</v>
      </c>
      <c r="C11" s="492"/>
      <c r="H11" t="s">
        <v>495</v>
      </c>
      <c r="I11" s="492"/>
      <c r="J11" t="str">
        <f t="shared" si="33"/>
        <v/>
      </c>
      <c r="K11" t="str">
        <f t="shared" si="34"/>
        <v/>
      </c>
      <c r="L11" t="str">
        <f t="shared" si="35"/>
        <v/>
      </c>
      <c r="M11" t="str">
        <f t="shared" si="1"/>
        <v/>
      </c>
      <c r="N11" t="s">
        <v>495</v>
      </c>
      <c r="O11" s="492"/>
      <c r="P11" t="str">
        <f t="shared" si="2"/>
        <v/>
      </c>
      <c r="Q11" t="str">
        <f t="shared" si="36"/>
        <v/>
      </c>
      <c r="R11" t="str">
        <f t="shared" si="37"/>
        <v/>
      </c>
      <c r="S11" t="str">
        <f t="shared" si="3"/>
        <v/>
      </c>
      <c r="T11" t="s">
        <v>495</v>
      </c>
      <c r="U11" s="492"/>
      <c r="V11" t="str">
        <f t="shared" si="4"/>
        <v/>
      </c>
      <c r="W11" t="str">
        <f t="shared" si="38"/>
        <v/>
      </c>
      <c r="X11" t="str">
        <f t="shared" si="39"/>
        <v/>
      </c>
      <c r="Y11" t="str">
        <f t="shared" si="5"/>
        <v/>
      </c>
      <c r="Z11" t="s">
        <v>495</v>
      </c>
      <c r="AA11" s="492"/>
      <c r="AB11" t="str">
        <f t="shared" si="6"/>
        <v/>
      </c>
      <c r="AC11" t="str">
        <f t="shared" si="40"/>
        <v/>
      </c>
      <c r="AD11" t="str">
        <f t="shared" si="41"/>
        <v/>
      </c>
      <c r="AE11" t="str">
        <f t="shared" si="7"/>
        <v/>
      </c>
      <c r="AF11" t="s">
        <v>495</v>
      </c>
      <c r="AG11" s="492"/>
      <c r="AH11" t="str">
        <f t="shared" si="8"/>
        <v/>
      </c>
      <c r="AI11" t="str">
        <f t="shared" si="42"/>
        <v/>
      </c>
      <c r="AJ11" t="str">
        <f t="shared" si="43"/>
        <v/>
      </c>
      <c r="AK11" t="str">
        <f t="shared" si="9"/>
        <v/>
      </c>
      <c r="AL11" t="s">
        <v>495</v>
      </c>
      <c r="AM11" s="492"/>
      <c r="AN11" t="str">
        <f t="shared" si="10"/>
        <v/>
      </c>
      <c r="AO11" t="str">
        <f t="shared" si="44"/>
        <v/>
      </c>
      <c r="AP11" t="str">
        <f t="shared" si="45"/>
        <v/>
      </c>
      <c r="AQ11" t="str">
        <f t="shared" si="11"/>
        <v/>
      </c>
      <c r="AR11" t="s">
        <v>495</v>
      </c>
      <c r="AS11" s="492"/>
      <c r="AT11" t="str">
        <f t="shared" si="12"/>
        <v/>
      </c>
      <c r="AU11" t="str">
        <f t="shared" si="46"/>
        <v/>
      </c>
      <c r="AV11" t="str">
        <f t="shared" si="47"/>
        <v/>
      </c>
      <c r="AW11" t="str">
        <f t="shared" si="13"/>
        <v/>
      </c>
      <c r="AX11" t="s">
        <v>495</v>
      </c>
      <c r="AY11" s="492"/>
      <c r="AZ11" t="str">
        <f t="shared" si="14"/>
        <v/>
      </c>
      <c r="BA11" t="str">
        <f t="shared" si="48"/>
        <v/>
      </c>
      <c r="BB11" t="str">
        <f t="shared" si="49"/>
        <v/>
      </c>
      <c r="BC11" t="str">
        <f t="shared" si="15"/>
        <v/>
      </c>
      <c r="BD11" t="s">
        <v>495</v>
      </c>
      <c r="BE11" s="492"/>
      <c r="BF11" t="str">
        <f t="shared" si="16"/>
        <v/>
      </c>
      <c r="BG11" t="str">
        <f t="shared" si="50"/>
        <v/>
      </c>
      <c r="BH11" t="str">
        <f t="shared" si="51"/>
        <v/>
      </c>
      <c r="BI11" t="str">
        <f t="shared" si="17"/>
        <v/>
      </c>
      <c r="BJ11" t="s">
        <v>495</v>
      </c>
      <c r="BK11" s="492"/>
      <c r="BL11" t="str">
        <f t="shared" si="18"/>
        <v/>
      </c>
      <c r="BM11" t="str">
        <f t="shared" si="52"/>
        <v/>
      </c>
      <c r="BN11" t="str">
        <f t="shared" si="53"/>
        <v/>
      </c>
      <c r="BO11" t="str">
        <f t="shared" si="19"/>
        <v/>
      </c>
      <c r="BP11" t="s">
        <v>495</v>
      </c>
      <c r="BQ11" s="492"/>
      <c r="BR11" t="str">
        <f t="shared" si="20"/>
        <v/>
      </c>
      <c r="BS11" t="str">
        <f t="shared" si="54"/>
        <v/>
      </c>
      <c r="BT11" t="str">
        <f t="shared" si="55"/>
        <v/>
      </c>
      <c r="BU11" t="str">
        <f t="shared" si="21"/>
        <v/>
      </c>
      <c r="BV11" t="s">
        <v>495</v>
      </c>
      <c r="BW11" s="492"/>
      <c r="BX11" t="str">
        <f t="shared" si="22"/>
        <v/>
      </c>
      <c r="BY11" t="str">
        <f t="shared" si="56"/>
        <v/>
      </c>
      <c r="BZ11" t="str">
        <f t="shared" si="57"/>
        <v/>
      </c>
      <c r="CA11" t="str">
        <f t="shared" si="23"/>
        <v/>
      </c>
      <c r="CB11" t="s">
        <v>495</v>
      </c>
      <c r="CC11" s="492"/>
      <c r="CD11" t="str">
        <f t="shared" si="24"/>
        <v/>
      </c>
      <c r="CE11" t="str">
        <f t="shared" si="58"/>
        <v/>
      </c>
      <c r="CF11" t="str">
        <f t="shared" si="59"/>
        <v/>
      </c>
      <c r="CG11" t="str">
        <f t="shared" si="25"/>
        <v/>
      </c>
      <c r="CH11" t="s">
        <v>495</v>
      </c>
      <c r="CI11" s="492"/>
      <c r="CJ11" t="str">
        <f t="shared" si="26"/>
        <v/>
      </c>
      <c r="CK11" t="str">
        <f t="shared" si="60"/>
        <v/>
      </c>
      <c r="CL11" t="str">
        <f t="shared" si="61"/>
        <v/>
      </c>
      <c r="CM11" t="str">
        <f t="shared" si="27"/>
        <v/>
      </c>
      <c r="CN11" t="s">
        <v>495</v>
      </c>
      <c r="CO11" s="492"/>
      <c r="CP11" t="str">
        <f t="shared" si="28"/>
        <v/>
      </c>
      <c r="CQ11" t="str">
        <f t="shared" si="62"/>
        <v/>
      </c>
      <c r="CR11" t="str">
        <f t="shared" si="63"/>
        <v/>
      </c>
      <c r="CS11" t="str">
        <f t="shared" si="29"/>
        <v/>
      </c>
      <c r="CT11" t="s">
        <v>495</v>
      </c>
      <c r="CU11" s="492" t="s">
        <v>1410</v>
      </c>
      <c r="CV11" t="str">
        <f>IF(CU11="","",VLOOKUP(_xlfn.TEXTBEFORE(_xlfn.TEXTAFTER(CU11,"["),"]"),tech!$E$117:$F$131,2,0))</f>
        <v>2.3.</v>
      </c>
      <c r="CW11" t="str">
        <f t="shared" si="30"/>
        <v>Availability of the PKI services, infrastructure setup to achieve availability goals. PKI continuity testing and infrastructure recovery. Infrastructure security controls.</v>
      </c>
      <c r="CX11" t="s">
        <v>495</v>
      </c>
      <c r="CY11" s="492" t="s">
        <v>1427</v>
      </c>
      <c r="CZ11" t="str">
        <f t="shared" si="31"/>
        <v>Infrastructure Management</v>
      </c>
      <c r="DA11" t="str">
        <f t="shared" si="32"/>
        <v>2</v>
      </c>
      <c r="DB11" t="s">
        <v>495</v>
      </c>
    </row>
    <row r="12" spans="1:106" x14ac:dyDescent="0.25">
      <c r="A12" s="83" t="s">
        <v>1457</v>
      </c>
      <c r="B12" s="247">
        <v>9</v>
      </c>
      <c r="C12" s="492"/>
      <c r="H12" t="s">
        <v>495</v>
      </c>
      <c r="I12" s="492"/>
      <c r="J12" t="str">
        <f t="shared" si="33"/>
        <v/>
      </c>
      <c r="K12" t="str">
        <f t="shared" si="34"/>
        <v/>
      </c>
      <c r="L12" t="str">
        <f t="shared" si="35"/>
        <v/>
      </c>
      <c r="M12" t="str">
        <f t="shared" si="1"/>
        <v/>
      </c>
      <c r="N12" t="s">
        <v>495</v>
      </c>
      <c r="O12" s="492"/>
      <c r="P12" t="str">
        <f t="shared" si="2"/>
        <v/>
      </c>
      <c r="Q12" t="str">
        <f t="shared" si="36"/>
        <v/>
      </c>
      <c r="R12" t="str">
        <f t="shared" si="37"/>
        <v/>
      </c>
      <c r="S12" t="str">
        <f t="shared" si="3"/>
        <v/>
      </c>
      <c r="T12" t="s">
        <v>495</v>
      </c>
      <c r="U12" s="492"/>
      <c r="V12" t="str">
        <f t="shared" si="4"/>
        <v/>
      </c>
      <c r="W12" t="str">
        <f t="shared" si="38"/>
        <v/>
      </c>
      <c r="X12" t="str">
        <f t="shared" si="39"/>
        <v/>
      </c>
      <c r="Y12" t="str">
        <f t="shared" si="5"/>
        <v/>
      </c>
      <c r="Z12" t="s">
        <v>495</v>
      </c>
      <c r="AA12" s="492"/>
      <c r="AB12" t="str">
        <f t="shared" si="6"/>
        <v/>
      </c>
      <c r="AC12" t="str">
        <f t="shared" si="40"/>
        <v/>
      </c>
      <c r="AD12" t="str">
        <f t="shared" si="41"/>
        <v/>
      </c>
      <c r="AE12" t="str">
        <f t="shared" si="7"/>
        <v/>
      </c>
      <c r="AF12" t="s">
        <v>495</v>
      </c>
      <c r="AG12" s="492"/>
      <c r="AH12" t="str">
        <f t="shared" si="8"/>
        <v/>
      </c>
      <c r="AI12" t="str">
        <f t="shared" si="42"/>
        <v/>
      </c>
      <c r="AJ12" t="str">
        <f t="shared" si="43"/>
        <v/>
      </c>
      <c r="AK12" t="str">
        <f t="shared" si="9"/>
        <v/>
      </c>
      <c r="AL12" t="s">
        <v>495</v>
      </c>
      <c r="AM12" s="492"/>
      <c r="AN12" t="str">
        <f t="shared" si="10"/>
        <v/>
      </c>
      <c r="AO12" t="str">
        <f t="shared" si="44"/>
        <v/>
      </c>
      <c r="AP12" t="str">
        <f t="shared" si="45"/>
        <v/>
      </c>
      <c r="AQ12" t="str">
        <f t="shared" si="11"/>
        <v/>
      </c>
      <c r="AR12" t="s">
        <v>495</v>
      </c>
      <c r="AS12" s="492"/>
      <c r="AT12" t="str">
        <f t="shared" si="12"/>
        <v/>
      </c>
      <c r="AU12" t="str">
        <f t="shared" si="46"/>
        <v/>
      </c>
      <c r="AV12" t="str">
        <f t="shared" si="47"/>
        <v/>
      </c>
      <c r="AW12" t="str">
        <f t="shared" si="13"/>
        <v/>
      </c>
      <c r="AX12" t="s">
        <v>495</v>
      </c>
      <c r="AY12" s="492"/>
      <c r="AZ12" t="str">
        <f t="shared" si="14"/>
        <v/>
      </c>
      <c r="BA12" t="str">
        <f t="shared" si="48"/>
        <v/>
      </c>
      <c r="BB12" t="str">
        <f t="shared" si="49"/>
        <v/>
      </c>
      <c r="BC12" t="str">
        <f t="shared" si="15"/>
        <v/>
      </c>
      <c r="BD12" t="s">
        <v>495</v>
      </c>
      <c r="BE12" s="492"/>
      <c r="BF12" t="str">
        <f t="shared" si="16"/>
        <v/>
      </c>
      <c r="BG12" t="str">
        <f t="shared" si="50"/>
        <v/>
      </c>
      <c r="BH12" t="str">
        <f t="shared" si="51"/>
        <v/>
      </c>
      <c r="BI12" t="str">
        <f t="shared" si="17"/>
        <v/>
      </c>
      <c r="BJ12" t="s">
        <v>495</v>
      </c>
      <c r="BK12" s="492"/>
      <c r="BL12" t="str">
        <f t="shared" si="18"/>
        <v/>
      </c>
      <c r="BM12" t="str">
        <f t="shared" si="52"/>
        <v/>
      </c>
      <c r="BN12" t="str">
        <f t="shared" si="53"/>
        <v/>
      </c>
      <c r="BO12" t="str">
        <f t="shared" si="19"/>
        <v/>
      </c>
      <c r="BP12" t="s">
        <v>495</v>
      </c>
      <c r="BQ12" s="492"/>
      <c r="BR12" t="str">
        <f t="shared" si="20"/>
        <v/>
      </c>
      <c r="BS12" t="str">
        <f t="shared" si="54"/>
        <v/>
      </c>
      <c r="BT12" t="str">
        <f t="shared" si="55"/>
        <v/>
      </c>
      <c r="BU12" t="str">
        <f t="shared" si="21"/>
        <v/>
      </c>
      <c r="BV12" t="s">
        <v>495</v>
      </c>
      <c r="BW12" s="492"/>
      <c r="BX12" t="str">
        <f t="shared" si="22"/>
        <v/>
      </c>
      <c r="BY12" t="str">
        <f t="shared" si="56"/>
        <v/>
      </c>
      <c r="BZ12" t="str">
        <f t="shared" si="57"/>
        <v/>
      </c>
      <c r="CA12" t="str">
        <f t="shared" si="23"/>
        <v/>
      </c>
      <c r="CB12" t="s">
        <v>495</v>
      </c>
      <c r="CC12" s="492"/>
      <c r="CD12" t="str">
        <f t="shared" si="24"/>
        <v/>
      </c>
      <c r="CE12" t="str">
        <f t="shared" si="58"/>
        <v/>
      </c>
      <c r="CF12" t="str">
        <f t="shared" si="59"/>
        <v/>
      </c>
      <c r="CG12" t="str">
        <f t="shared" si="25"/>
        <v/>
      </c>
      <c r="CH12" t="s">
        <v>495</v>
      </c>
      <c r="CI12" s="492"/>
      <c r="CJ12" t="str">
        <f t="shared" si="26"/>
        <v/>
      </c>
      <c r="CK12" t="str">
        <f t="shared" si="60"/>
        <v/>
      </c>
      <c r="CL12" t="str">
        <f t="shared" si="61"/>
        <v/>
      </c>
      <c r="CM12" t="str">
        <f t="shared" si="27"/>
        <v/>
      </c>
      <c r="CN12" t="s">
        <v>495</v>
      </c>
      <c r="CO12" s="492"/>
      <c r="CP12" t="str">
        <f t="shared" si="28"/>
        <v/>
      </c>
      <c r="CQ12" t="str">
        <f t="shared" si="62"/>
        <v/>
      </c>
      <c r="CR12" t="str">
        <f t="shared" si="63"/>
        <v/>
      </c>
      <c r="CS12" t="str">
        <f t="shared" si="29"/>
        <v/>
      </c>
      <c r="CT12" t="s">
        <v>495</v>
      </c>
      <c r="CU12" s="492" t="s">
        <v>1411</v>
      </c>
      <c r="CV12" t="str">
        <f>IF(CU12="","",VLOOKUP(_xlfn.TEXTBEFORE(_xlfn.TEXTAFTER(CU12,"["),"]"),tech!$E$117:$F$131,2,0))</f>
        <v>2.4.</v>
      </c>
      <c r="CW12" t="str">
        <f t="shared" si="30"/>
        <v>Secure and controlled process for the change management. Formal process to request changes in the PKI, approval, staging, roll-back.</v>
      </c>
      <c r="CX12" t="s">
        <v>495</v>
      </c>
      <c r="CY12" s="492" t="s">
        <v>1428</v>
      </c>
      <c r="CZ12" t="str">
        <f t="shared" si="31"/>
        <v>Change Management and Agility</v>
      </c>
      <c r="DA12" t="str">
        <f t="shared" si="32"/>
        <v>3</v>
      </c>
      <c r="DB12" t="s">
        <v>495</v>
      </c>
    </row>
    <row r="13" spans="1:106" ht="15.75" thickBot="1" x14ac:dyDescent="0.3">
      <c r="A13" s="501" t="s">
        <v>1458</v>
      </c>
      <c r="B13" s="247">
        <v>10</v>
      </c>
      <c r="C13" s="213"/>
      <c r="H13" t="s">
        <v>495</v>
      </c>
      <c r="I13" s="213"/>
      <c r="J13" t="str">
        <f t="shared" si="33"/>
        <v/>
      </c>
      <c r="K13" t="str">
        <f t="shared" si="34"/>
        <v/>
      </c>
      <c r="L13" t="str">
        <f t="shared" si="35"/>
        <v/>
      </c>
      <c r="M13" t="str">
        <f t="shared" si="1"/>
        <v/>
      </c>
      <c r="N13" t="s">
        <v>495</v>
      </c>
      <c r="O13" s="213"/>
      <c r="P13" t="str">
        <f t="shared" si="2"/>
        <v/>
      </c>
      <c r="Q13" t="str">
        <f t="shared" si="36"/>
        <v/>
      </c>
      <c r="R13" t="str">
        <f t="shared" si="37"/>
        <v/>
      </c>
      <c r="S13" t="str">
        <f t="shared" si="3"/>
        <v/>
      </c>
      <c r="T13" t="s">
        <v>495</v>
      </c>
      <c r="U13" s="213"/>
      <c r="V13" t="str">
        <f t="shared" si="4"/>
        <v/>
      </c>
      <c r="W13" t="str">
        <f t="shared" si="38"/>
        <v/>
      </c>
      <c r="X13" t="str">
        <f t="shared" si="39"/>
        <v/>
      </c>
      <c r="Y13" t="str">
        <f t="shared" si="5"/>
        <v/>
      </c>
      <c r="Z13" t="s">
        <v>495</v>
      </c>
      <c r="AA13" s="213"/>
      <c r="AB13" t="str">
        <f t="shared" si="6"/>
        <v/>
      </c>
      <c r="AC13" t="str">
        <f t="shared" si="40"/>
        <v/>
      </c>
      <c r="AD13" t="str">
        <f t="shared" si="41"/>
        <v/>
      </c>
      <c r="AE13" t="str">
        <f t="shared" si="7"/>
        <v/>
      </c>
      <c r="AF13" t="s">
        <v>495</v>
      </c>
      <c r="AG13" s="213"/>
      <c r="AH13" t="str">
        <f t="shared" si="8"/>
        <v/>
      </c>
      <c r="AI13" t="str">
        <f t="shared" si="42"/>
        <v/>
      </c>
      <c r="AJ13" t="str">
        <f t="shared" si="43"/>
        <v/>
      </c>
      <c r="AK13" t="str">
        <f t="shared" si="9"/>
        <v/>
      </c>
      <c r="AL13" t="s">
        <v>495</v>
      </c>
      <c r="AM13" s="213"/>
      <c r="AN13" t="str">
        <f t="shared" si="10"/>
        <v/>
      </c>
      <c r="AO13" t="str">
        <f t="shared" si="44"/>
        <v/>
      </c>
      <c r="AP13" t="str">
        <f t="shared" si="45"/>
        <v/>
      </c>
      <c r="AQ13" t="str">
        <f t="shared" si="11"/>
        <v/>
      </c>
      <c r="AR13" t="s">
        <v>495</v>
      </c>
      <c r="AS13" s="213"/>
      <c r="AT13" t="str">
        <f t="shared" si="12"/>
        <v/>
      </c>
      <c r="AU13" t="str">
        <f t="shared" si="46"/>
        <v/>
      </c>
      <c r="AV13" t="str">
        <f t="shared" si="47"/>
        <v/>
      </c>
      <c r="AW13" t="str">
        <f t="shared" si="13"/>
        <v/>
      </c>
      <c r="AX13" t="s">
        <v>495</v>
      </c>
      <c r="AY13" s="213"/>
      <c r="AZ13" t="str">
        <f t="shared" si="14"/>
        <v/>
      </c>
      <c r="BA13" t="str">
        <f t="shared" si="48"/>
        <v/>
      </c>
      <c r="BB13" t="str">
        <f t="shared" si="49"/>
        <v/>
      </c>
      <c r="BC13" t="str">
        <f t="shared" si="15"/>
        <v/>
      </c>
      <c r="BD13" t="s">
        <v>495</v>
      </c>
      <c r="BE13" s="213"/>
      <c r="BF13" t="str">
        <f t="shared" si="16"/>
        <v/>
      </c>
      <c r="BG13" t="str">
        <f t="shared" si="50"/>
        <v/>
      </c>
      <c r="BH13" t="str">
        <f t="shared" si="51"/>
        <v/>
      </c>
      <c r="BI13" t="str">
        <f t="shared" si="17"/>
        <v/>
      </c>
      <c r="BJ13" t="s">
        <v>495</v>
      </c>
      <c r="BK13" s="213"/>
      <c r="BL13" t="str">
        <f t="shared" si="18"/>
        <v/>
      </c>
      <c r="BM13" t="str">
        <f t="shared" si="52"/>
        <v/>
      </c>
      <c r="BN13" t="str">
        <f t="shared" si="53"/>
        <v/>
      </c>
      <c r="BO13" t="str">
        <f t="shared" si="19"/>
        <v/>
      </c>
      <c r="BP13" t="s">
        <v>495</v>
      </c>
      <c r="BQ13" s="213"/>
      <c r="BR13" t="str">
        <f t="shared" si="20"/>
        <v/>
      </c>
      <c r="BS13" t="str">
        <f t="shared" si="54"/>
        <v/>
      </c>
      <c r="BT13" t="str">
        <f t="shared" si="55"/>
        <v/>
      </c>
      <c r="BU13" t="str">
        <f t="shared" si="21"/>
        <v/>
      </c>
      <c r="BV13" t="s">
        <v>495</v>
      </c>
      <c r="BW13" s="213"/>
      <c r="BX13" t="str">
        <f t="shared" si="22"/>
        <v/>
      </c>
      <c r="BY13" t="str">
        <f t="shared" si="56"/>
        <v/>
      </c>
      <c r="BZ13" t="str">
        <f t="shared" si="57"/>
        <v/>
      </c>
      <c r="CA13" t="str">
        <f t="shared" si="23"/>
        <v/>
      </c>
      <c r="CB13" t="s">
        <v>495</v>
      </c>
      <c r="CC13" s="213"/>
      <c r="CD13" t="str">
        <f t="shared" si="24"/>
        <v/>
      </c>
      <c r="CE13" t="str">
        <f t="shared" si="58"/>
        <v/>
      </c>
      <c r="CF13" t="str">
        <f t="shared" si="59"/>
        <v/>
      </c>
      <c r="CG13" t="str">
        <f t="shared" si="25"/>
        <v/>
      </c>
      <c r="CH13" t="s">
        <v>495</v>
      </c>
      <c r="CI13" s="213"/>
      <c r="CJ13" t="str">
        <f t="shared" si="26"/>
        <v/>
      </c>
      <c r="CK13" t="str">
        <f t="shared" si="60"/>
        <v/>
      </c>
      <c r="CL13" t="str">
        <f t="shared" si="61"/>
        <v/>
      </c>
      <c r="CM13" t="str">
        <f t="shared" si="27"/>
        <v/>
      </c>
      <c r="CN13" t="s">
        <v>495</v>
      </c>
      <c r="CO13" s="213"/>
      <c r="CP13" t="str">
        <f t="shared" si="28"/>
        <v/>
      </c>
      <c r="CQ13" t="str">
        <f t="shared" si="62"/>
        <v/>
      </c>
      <c r="CR13" t="str">
        <f t="shared" si="63"/>
        <v/>
      </c>
      <c r="CS13" t="str">
        <f t="shared" si="29"/>
        <v/>
      </c>
      <c r="CT13" t="s">
        <v>495</v>
      </c>
      <c r="CU13" s="492" t="s">
        <v>1412</v>
      </c>
      <c r="CV13" t="str">
        <f>IF(CU13="","",VLOOKUP(_xlfn.TEXTBEFORE(_xlfn.TEXTAFTER(CU13,"["),"]"),tech!$E$117:$F$131,2,0))</f>
        <v>4.1.</v>
      </c>
      <c r="CW13" t="str">
        <f t="shared" si="30"/>
        <v>Availability of skilled resources to manage PKI. Processes and procedures to maintain the required resources in time, monitoring of the skills.</v>
      </c>
      <c r="CX13" t="s">
        <v>495</v>
      </c>
      <c r="CY13" s="492" t="s">
        <v>1429</v>
      </c>
      <c r="CZ13" t="str">
        <f t="shared" si="31"/>
        <v>Sourcing</v>
      </c>
      <c r="DA13" t="str">
        <f t="shared" si="32"/>
        <v>4</v>
      </c>
      <c r="DB13" t="s">
        <v>495</v>
      </c>
    </row>
    <row r="14" spans="1:106" ht="15.75" thickBot="1" x14ac:dyDescent="0.3">
      <c r="H14" t="s">
        <v>495</v>
      </c>
      <c r="N14" t="s">
        <v>495</v>
      </c>
      <c r="T14" t="s">
        <v>495</v>
      </c>
      <c r="Z14" t="s">
        <v>495</v>
      </c>
      <c r="AF14" t="s">
        <v>495</v>
      </c>
      <c r="AL14" t="s">
        <v>495</v>
      </c>
      <c r="AR14" t="s">
        <v>495</v>
      </c>
      <c r="AX14" t="s">
        <v>495</v>
      </c>
      <c r="BD14" t="s">
        <v>495</v>
      </c>
      <c r="BJ14" t="s">
        <v>495</v>
      </c>
      <c r="BP14" t="s">
        <v>495</v>
      </c>
      <c r="BV14" t="s">
        <v>495</v>
      </c>
      <c r="CB14" t="s">
        <v>495</v>
      </c>
      <c r="CH14" t="s">
        <v>495</v>
      </c>
      <c r="CN14" t="s">
        <v>495</v>
      </c>
      <c r="CT14" t="s">
        <v>495</v>
      </c>
      <c r="CU14" s="492" t="s">
        <v>1413</v>
      </c>
      <c r="CV14" t="str">
        <f>IF(CU14="","",VLOOKUP(_xlfn.TEXTBEFORE(_xlfn.TEXTAFTER(CU14,"["),"]"),tech!$E$117:$F$131,2,0))</f>
        <v>4.2.</v>
      </c>
      <c r="CW14" t="str">
        <f t="shared" si="30"/>
        <v>Education of people and continuously gathering required knowledge and skills to manage PKI. Training plans and improvement.</v>
      </c>
      <c r="CX14" t="s">
        <v>495</v>
      </c>
      <c r="CY14" s="492" t="s">
        <v>1430</v>
      </c>
      <c r="CZ14" t="str">
        <f t="shared" si="31"/>
        <v>Knowledge and Training</v>
      </c>
      <c r="DA14" t="str">
        <f t="shared" si="32"/>
        <v>3</v>
      </c>
      <c r="DB14" t="s">
        <v>495</v>
      </c>
    </row>
    <row r="15" spans="1:106" x14ac:dyDescent="0.25">
      <c r="C15" s="491" t="s">
        <v>444</v>
      </c>
      <c r="D15" t="str">
        <f>IF(AND(LEFT(C15,1)="#",IFERROR(LEN(_xlfn.TEXTBEFORE(C15," "))=2,0)),_xlfn.TEXTBEFORE(_xlfn.TEXTAFTER(C15," ")," "),D14)</f>
        <v>Initial</v>
      </c>
      <c r="E15">
        <f>IF(AND(LEFT(C15,1)="#",IFERROR(LEN(_xlfn.TEXTBEFORE(C15," "))=3,0)),_xlfn.TEXTAFTER(C15," "),E14)</f>
        <v>0</v>
      </c>
      <c r="F15" t="str">
        <f>_xlfn.CONCAT(VLOOKUP(D15,tech!$A$13:$B$17,2,0),LEFT(E15,1),IF(G15="","X","Y"))</f>
        <v>10X</v>
      </c>
      <c r="G15" t="str">
        <f>IF(IF(LEFT(C15,1)="-",C15,"")="","",REPLACE(IF(LEFT(C15,1)="-",C15,""),1,1,tech!$H$2))</f>
        <v/>
      </c>
      <c r="H15" t="s">
        <v>495</v>
      </c>
      <c r="I15" s="491" t="s">
        <v>496</v>
      </c>
      <c r="J15">
        <f>IF(AND(LEFT(I15,1)="#",IFERROR(LEN(_xlfn.TEXTBEFORE(I15," "))=3,0)),_xlfn.TEXTAFTER(I15," "),J14)</f>
        <v>0</v>
      </c>
      <c r="K15">
        <f>IF(AND(LEFT(I15,1)="#",IFERROR(LEN(_xlfn.TEXTBEFORE(I15," "))=4,0)),_xlfn.TEXTAFTER(I15," "),K14)</f>
        <v>0</v>
      </c>
      <c r="L15" t="str">
        <f>_xlfn.CONCAT(IFERROR(VLOOKUP(J15,L$4:M$13,2,0),""),LEFT(K15,1),IF(M15="",IF(AND(M14&lt;&gt;"",M16&lt;&gt;""),"Y","X"),"Y"))</f>
        <v>0X</v>
      </c>
      <c r="M15" t="str">
        <f>IF(AND(I15&lt;&gt;"",LEFT(I15,1)&lt;&gt;"#"),IF(LEFT(I15,1)="-",REPLACE(I15,1,1,tech!$H$2),I15),"")</f>
        <v/>
      </c>
      <c r="N15" t="s">
        <v>495</v>
      </c>
      <c r="O15" s="491" t="s">
        <v>496</v>
      </c>
      <c r="P15">
        <f>IF(AND(LEFT(O15,1)="#",IFERROR(LEN(_xlfn.TEXTBEFORE(O15," "))=3,0)),_xlfn.TEXTAFTER(O15," "),P14)</f>
        <v>0</v>
      </c>
      <c r="Q15">
        <f>IF(AND(LEFT(O15,1)="#",IFERROR(LEN(_xlfn.TEXTBEFORE(O15," "))=4,0)),_xlfn.TEXTAFTER(O15," "),Q14)</f>
        <v>0</v>
      </c>
      <c r="R15" t="str">
        <f>_xlfn.CONCAT(IFERROR(VLOOKUP(P15,R$4:S$13,2,0),""),LEFT(Q15,1),IF(S15="",IF(AND(S14&lt;&gt;"",S16&lt;&gt;""),"Y","X"),"Y"))</f>
        <v>0X</v>
      </c>
      <c r="S15" t="str">
        <f>IF(AND(O15&lt;&gt;"",LEFT(O15,1)&lt;&gt;"#"),IF(LEFT(O15,1)="-",REPLACE(O15,1,1,tech!$H$2),O15),"")</f>
        <v/>
      </c>
      <c r="T15" t="s">
        <v>495</v>
      </c>
      <c r="U15" s="491" t="s">
        <v>496</v>
      </c>
      <c r="V15">
        <f>IF(AND(LEFT(U15,1)="#",IFERROR(LEN(_xlfn.TEXTBEFORE(U15," "))=3,0)),_xlfn.TEXTAFTER(U15," "),V14)</f>
        <v>0</v>
      </c>
      <c r="W15">
        <f>IF(AND(LEFT(U15,1)="#",IFERROR(LEN(_xlfn.TEXTBEFORE(U15," "))=4,0)),_xlfn.TEXTAFTER(U15," "),W14)</f>
        <v>0</v>
      </c>
      <c r="X15" t="str">
        <f>_xlfn.CONCAT(IFERROR(VLOOKUP(V15,X$4:Y$13,2,0),""),LEFT(W15,1),IF(Y15="",IF(AND(Y14&lt;&gt;"",Y16&lt;&gt;""),"Y","X"),"Y"))</f>
        <v>0X</v>
      </c>
      <c r="Y15" t="str">
        <f>IF(AND(U15&lt;&gt;"",LEFT(U15,1)&lt;&gt;"#"),IF(LEFT(U15,1)="-",REPLACE(U15,1,1,tech!$H$2),U15),"")</f>
        <v/>
      </c>
      <c r="Z15" t="s">
        <v>495</v>
      </c>
      <c r="AA15" s="491" t="s">
        <v>496</v>
      </c>
      <c r="AB15">
        <f>IF(AND(LEFT(AA15,1)="#",IFERROR(LEN(_xlfn.TEXTBEFORE(AA15," "))=3,0)),_xlfn.TEXTAFTER(AA15," "),AB14)</f>
        <v>0</v>
      </c>
      <c r="AC15">
        <f>IF(AND(LEFT(AA15,1)="#",IFERROR(LEN(_xlfn.TEXTBEFORE(AA15," "))=4,0)),_xlfn.TEXTAFTER(AA15," "),AC14)</f>
        <v>0</v>
      </c>
      <c r="AD15" t="str">
        <f>_xlfn.CONCAT(IFERROR(VLOOKUP(AB15,AD$4:AE$13,2,0),""),LEFT(AC15,1),IF(AE15="",IF(AND(AE14&lt;&gt;"",AE16&lt;&gt;""),"Y","X"),"Y"))</f>
        <v>0X</v>
      </c>
      <c r="AE15" t="str">
        <f>IF(AND(AA15&lt;&gt;"",LEFT(AA15,1)&lt;&gt;"#"),IF(LEFT(AA15,1)="-",REPLACE(AA15,1,1,tech!$H$2),AA15),"")</f>
        <v/>
      </c>
      <c r="AF15" t="s">
        <v>495</v>
      </c>
      <c r="AG15" s="491" t="s">
        <v>496</v>
      </c>
      <c r="AH15">
        <f>IF(AND(LEFT(AG15,1)="#",IFERROR(LEN(_xlfn.TEXTBEFORE(AG15," "))=3,0)),_xlfn.TEXTAFTER(AG15," "),AH14)</f>
        <v>0</v>
      </c>
      <c r="AI15">
        <f>IF(AND(LEFT(AG15,1)="#",IFERROR(LEN(_xlfn.TEXTBEFORE(AG15," "))=4,0)),_xlfn.TEXTAFTER(AG15," "),AI14)</f>
        <v>0</v>
      </c>
      <c r="AJ15" t="str">
        <f>_xlfn.CONCAT(IFERROR(VLOOKUP(AH15,AJ$4:AK$13,2,0),""),LEFT(AI15,1),IF(AK15="",IF(AND(AK14&lt;&gt;"",AK16&lt;&gt;""),"Y","X"),"Y"))</f>
        <v>0X</v>
      </c>
      <c r="AK15" t="str">
        <f>IF(AND(AG15&lt;&gt;"",LEFT(AG15,1)&lt;&gt;"#"),IF(LEFT(AG15,1)="-",REPLACE(AG15,1,1,tech!$H$2),AG15),"")</f>
        <v/>
      </c>
      <c r="AL15" t="s">
        <v>495</v>
      </c>
      <c r="AM15" s="491" t="s">
        <v>496</v>
      </c>
      <c r="AN15">
        <f>IF(AND(LEFT(AM15,1)="#",IFERROR(LEN(_xlfn.TEXTBEFORE(AM15," "))=3,0)),_xlfn.TEXTAFTER(AM15," "),AN14)</f>
        <v>0</v>
      </c>
      <c r="AO15">
        <f>IF(AND(LEFT(AM15,1)="#",IFERROR(LEN(_xlfn.TEXTBEFORE(AM15," "))=4,0)),_xlfn.TEXTAFTER(AM15," "),AO14)</f>
        <v>0</v>
      </c>
      <c r="AP15" t="str">
        <f>_xlfn.CONCAT(IFERROR(VLOOKUP(AN15,AP$4:AQ$13,2,0),""),LEFT(AO15,1),IF(AQ15="",IF(AND(AQ14&lt;&gt;"",AQ16&lt;&gt;""),"Y","X"),"Y"))</f>
        <v>0X</v>
      </c>
      <c r="AQ15" t="str">
        <f>IF(AND(AM15&lt;&gt;"",LEFT(AM15,1)&lt;&gt;"#"),IF(LEFT(AM15,1)="-",REPLACE(AM15,1,1,tech!$H$2),AM15),"")</f>
        <v/>
      </c>
      <c r="AR15" t="s">
        <v>495</v>
      </c>
      <c r="AS15" s="491" t="s">
        <v>496</v>
      </c>
      <c r="AT15">
        <f>IF(AND(LEFT(AS15,1)="#",IFERROR(LEN(_xlfn.TEXTBEFORE(AS15," "))=3,0)),_xlfn.TEXTAFTER(AS15," "),AT14)</f>
        <v>0</v>
      </c>
      <c r="AU15">
        <f>IF(AND(LEFT(AS15,1)="#",IFERROR(LEN(_xlfn.TEXTBEFORE(AS15," "))=4,0)),_xlfn.TEXTAFTER(AS15," "),AU14)</f>
        <v>0</v>
      </c>
      <c r="AV15" t="str">
        <f>_xlfn.CONCAT(IFERROR(VLOOKUP(AT15,AV$4:AW$13,2,0),""),LEFT(AU15,1),IF(AW15="",IF(AND(AW14&lt;&gt;"",AW16&lt;&gt;""),"Y","X"),"Y"))</f>
        <v>0X</v>
      </c>
      <c r="AW15" t="str">
        <f>IF(AND(AS15&lt;&gt;"",LEFT(AS15,1)&lt;&gt;"#"),IF(LEFT(AS15,1)="-",REPLACE(AS15,1,1,tech!$H$2),AS15),"")</f>
        <v/>
      </c>
      <c r="AX15" t="s">
        <v>495</v>
      </c>
      <c r="AY15" s="491" t="s">
        <v>496</v>
      </c>
      <c r="AZ15">
        <f>IF(AND(LEFT(AY15,1)="#",IFERROR(LEN(_xlfn.TEXTBEFORE(AY15," "))=3,0)),_xlfn.TEXTAFTER(AY15," "),AZ14)</f>
        <v>0</v>
      </c>
      <c r="BA15">
        <f>IF(AND(LEFT(AY15,1)="#",IFERROR(LEN(_xlfn.TEXTBEFORE(AY15," "))=4,0)),_xlfn.TEXTAFTER(AY15," "),BA14)</f>
        <v>0</v>
      </c>
      <c r="BB15" t="str">
        <f>_xlfn.CONCAT(IFERROR(VLOOKUP(AZ15,BB$4:BC$13,2,0),""),LEFT(BA15,1),IF(BC15="",IF(AND(BC14&lt;&gt;"",BC16&lt;&gt;""),"Y","X"),"Y"))</f>
        <v>0X</v>
      </c>
      <c r="BC15" t="str">
        <f>IF(AND(AY15&lt;&gt;"",LEFT(AY15,1)&lt;&gt;"#"),IF(LEFT(AY15,1)="-",REPLACE(AY15,1,1,tech!$H$2),AY15),"")</f>
        <v/>
      </c>
      <c r="BD15" t="s">
        <v>495</v>
      </c>
      <c r="BE15" s="491" t="s">
        <v>496</v>
      </c>
      <c r="BF15">
        <f>IF(AND(LEFT(BE15,1)="#",IFERROR(LEN(_xlfn.TEXTBEFORE(BE15," "))=3,0)),_xlfn.TEXTAFTER(BE15," "),BF14)</f>
        <v>0</v>
      </c>
      <c r="BG15">
        <f>IF(AND(LEFT(BE15,1)="#",IFERROR(LEN(_xlfn.TEXTBEFORE(BE15," "))=4,0)),_xlfn.TEXTAFTER(BE15," "),BG14)</f>
        <v>0</v>
      </c>
      <c r="BH15" t="str">
        <f>_xlfn.CONCAT(IFERROR(VLOOKUP(BF15,BH$4:BI$13,2,0),""),LEFT(BG15,1),IF(BI15="",IF(AND(BI14&lt;&gt;"",BI16&lt;&gt;""),"Y","X"),"Y"))</f>
        <v>0X</v>
      </c>
      <c r="BI15" t="str">
        <f>IF(AND(BE15&lt;&gt;"",LEFT(BE15,1)&lt;&gt;"#"),IF(LEFT(BE15,1)="-",REPLACE(BE15,1,1,tech!$H$2),BE15),"")</f>
        <v/>
      </c>
      <c r="BJ15" t="s">
        <v>495</v>
      </c>
      <c r="BK15" s="491" t="s">
        <v>496</v>
      </c>
      <c r="BL15">
        <f>IF(AND(LEFT(BK15,1)="#",IFERROR(LEN(_xlfn.TEXTBEFORE(BK15," "))=3,0)),_xlfn.TEXTAFTER(BK15," "),BL14)</f>
        <v>0</v>
      </c>
      <c r="BM15">
        <f>IF(AND(LEFT(BK15,1)="#",IFERROR(LEN(_xlfn.TEXTBEFORE(BK15," "))=4,0)),_xlfn.TEXTAFTER(BK15," "),BM14)</f>
        <v>0</v>
      </c>
      <c r="BN15" t="str">
        <f>_xlfn.CONCAT(IFERROR(VLOOKUP(BL15,BN$4:BO$13,2,0),""),LEFT(BM15,1),IF(BO15="",IF(AND(BO14&lt;&gt;"",BO16&lt;&gt;""),"Y","X"),"Y"))</f>
        <v>0X</v>
      </c>
      <c r="BO15" t="str">
        <f>IF(AND(BK15&lt;&gt;"",LEFT(BK15,1)&lt;&gt;"#"),IF(LEFT(BK15,1)="-",REPLACE(BK15,1,1,tech!$H$2),BK15),"")</f>
        <v/>
      </c>
      <c r="BP15" t="s">
        <v>495</v>
      </c>
      <c r="BQ15" s="491" t="s">
        <v>496</v>
      </c>
      <c r="BR15">
        <f>IF(AND(LEFT(BQ15,1)="#",IFERROR(LEN(_xlfn.TEXTBEFORE(BQ15," "))=3,0)),_xlfn.TEXTAFTER(BQ15," "),BR14)</f>
        <v>0</v>
      </c>
      <c r="BS15">
        <f>IF(AND(LEFT(BQ15,1)="#",IFERROR(LEN(_xlfn.TEXTBEFORE(BQ15," "))=4,0)),_xlfn.TEXTAFTER(BQ15," "),BS14)</f>
        <v>0</v>
      </c>
      <c r="BT15" t="str">
        <f>_xlfn.CONCAT(IFERROR(VLOOKUP(BR15,BT$4:BU$13,2,0),""),LEFT(BS15,1),IF(BU15="",IF(AND(BU14&lt;&gt;"",BU16&lt;&gt;""),"Y","X"),"Y"))</f>
        <v>0X</v>
      </c>
      <c r="BU15" t="str">
        <f>IF(AND(BQ15&lt;&gt;"",LEFT(BQ15,1)&lt;&gt;"#"),IF(LEFT(BQ15,1)="-",REPLACE(BQ15,1,1,tech!$H$2),BQ15),"")</f>
        <v/>
      </c>
      <c r="BV15" t="s">
        <v>495</v>
      </c>
      <c r="BW15" s="491" t="s">
        <v>496</v>
      </c>
      <c r="BX15">
        <f>IF(AND(LEFT(BW15,1)="#",IFERROR(LEN(_xlfn.TEXTBEFORE(BW15," "))=3,0)),_xlfn.TEXTAFTER(BW15," "),BX14)</f>
        <v>0</v>
      </c>
      <c r="BY15">
        <f>IF(AND(LEFT(BW15,1)="#",IFERROR(LEN(_xlfn.TEXTBEFORE(BW15," "))=4,0)),_xlfn.TEXTAFTER(BW15," "),BY14)</f>
        <v>0</v>
      </c>
      <c r="BZ15" t="str">
        <f>_xlfn.CONCAT(IFERROR(VLOOKUP(BX15,BZ$4:CA$13,2,0),""),LEFT(BY15,1),IF(CA15="",IF(AND(CA14&lt;&gt;"",CA16&lt;&gt;""),"Y","X"),"Y"))</f>
        <v>0X</v>
      </c>
      <c r="CA15" t="str">
        <f>IF(AND(BW15&lt;&gt;"",LEFT(BW15,1)&lt;&gt;"#"),IF(LEFT(BW15,1)="-",REPLACE(BW15,1,1,tech!$H$2),BW15),"")</f>
        <v/>
      </c>
      <c r="CB15" t="s">
        <v>495</v>
      </c>
      <c r="CC15" s="491" t="s">
        <v>496</v>
      </c>
      <c r="CD15">
        <f>IF(AND(LEFT(CC15,1)="#",IFERROR(LEN(_xlfn.TEXTBEFORE(CC15," "))=3,0)),_xlfn.TEXTAFTER(CC15," "),CD14)</f>
        <v>0</v>
      </c>
      <c r="CE15">
        <f>IF(AND(LEFT(CC15,1)="#",IFERROR(LEN(_xlfn.TEXTBEFORE(CC15," "))=4,0)),_xlfn.TEXTAFTER(CC15," "),CE14)</f>
        <v>0</v>
      </c>
      <c r="CF15" t="str">
        <f>_xlfn.CONCAT(IFERROR(VLOOKUP(CD15,CF$4:CG$13,2,0),""),LEFT(CE15,1),IF(CG15="",IF(AND(CG14&lt;&gt;"",CG16&lt;&gt;""),"Y","X"),"Y"))</f>
        <v>0X</v>
      </c>
      <c r="CG15" t="str">
        <f>IF(AND(CC15&lt;&gt;"",LEFT(CC15,1)&lt;&gt;"#"),IF(LEFT(CC15,1)="-",REPLACE(CC15,1,1,tech!$H$2),CC15),"")</f>
        <v/>
      </c>
      <c r="CH15" t="s">
        <v>495</v>
      </c>
      <c r="CI15" s="491" t="s">
        <v>496</v>
      </c>
      <c r="CJ15">
        <f>IF(AND(LEFT(CI15,1)="#",IFERROR(LEN(_xlfn.TEXTBEFORE(CI15," "))=3,0)),_xlfn.TEXTAFTER(CI15," "),CJ14)</f>
        <v>0</v>
      </c>
      <c r="CK15">
        <f>IF(AND(LEFT(CI15,1)="#",IFERROR(LEN(_xlfn.TEXTBEFORE(CI15," "))=4,0)),_xlfn.TEXTAFTER(CI15," "),CK14)</f>
        <v>0</v>
      </c>
      <c r="CL15" t="str">
        <f>_xlfn.CONCAT(IFERROR(VLOOKUP(CJ15,CL$4:CM$13,2,0),""),LEFT(CK15,1),IF(CM15="",IF(AND(CM14&lt;&gt;"",CM16&lt;&gt;""),"Y","X"),"Y"))</f>
        <v>0X</v>
      </c>
      <c r="CM15" t="str">
        <f>IF(AND(CI15&lt;&gt;"",LEFT(CI15,1)&lt;&gt;"#"),IF(LEFT(CI15,1)="-",REPLACE(CI15,1,1,tech!$H$2),CI15),"")</f>
        <v/>
      </c>
      <c r="CN15" t="s">
        <v>495</v>
      </c>
      <c r="CO15" s="491" t="s">
        <v>496</v>
      </c>
      <c r="CP15">
        <f>IF(AND(LEFT(CO15,1)="#",IFERROR(LEN(_xlfn.TEXTBEFORE(CO15," "))=3,0)),_xlfn.TEXTAFTER(CO15," "),CP14)</f>
        <v>0</v>
      </c>
      <c r="CQ15">
        <f>IF(AND(LEFT(CO15,1)="#",IFERROR(LEN(_xlfn.TEXTBEFORE(CO15," "))=4,0)),_xlfn.TEXTAFTER(CO15," "),CQ14)</f>
        <v>0</v>
      </c>
      <c r="CR15" t="str">
        <f>_xlfn.CONCAT(IFERROR(VLOOKUP(CP15,CR$4:CS$13,2,0),""),LEFT(CQ15,1),IF(CS15="",IF(AND(CS14&lt;&gt;"",CS16&lt;&gt;""),"Y","X"),"Y"))</f>
        <v>0X</v>
      </c>
      <c r="CS15" t="str">
        <f>IF(AND(CO15&lt;&gt;"",LEFT(CO15,1)&lt;&gt;"#"),IF(LEFT(CO15,1)="-",REPLACE(CO15,1,1,tech!$H$2),CO15),"")</f>
        <v/>
      </c>
      <c r="CT15" t="s">
        <v>495</v>
      </c>
      <c r="CU15" s="492" t="s">
        <v>1414</v>
      </c>
      <c r="CV15" t="str">
        <f>IF(CU15="","",VLOOKUP(_xlfn.TEXTBEFORE(_xlfn.TEXTAFTER(CU15,"["),"]"),tech!$E$117:$F$131,2,0))</f>
        <v>3.3.</v>
      </c>
      <c r="CW15" t="str">
        <f t="shared" si="30"/>
        <v>Measurement of the PKI metrics, collecting evidence, monitoring and alerting of relevant issues, including references to incident response management.</v>
      </c>
      <c r="CX15" t="s">
        <v>495</v>
      </c>
      <c r="CY15" s="492" t="s">
        <v>1431</v>
      </c>
      <c r="CZ15" t="str">
        <f t="shared" si="31"/>
        <v>Monitoring and Auditing</v>
      </c>
      <c r="DA15" t="str">
        <f t="shared" si="32"/>
        <v>2</v>
      </c>
      <c r="DB15" t="s">
        <v>495</v>
      </c>
    </row>
    <row r="16" spans="1:106" x14ac:dyDescent="0.25">
      <c r="C16" s="492"/>
      <c r="D16" t="str">
        <f t="shared" ref="D16:D79" si="64">IF(AND(LEFT(C16,1)="#",IFERROR(LEN(_xlfn.TEXTBEFORE(C16," "))=2,0)),_xlfn.TEXTBEFORE(_xlfn.TEXTAFTER(C16," ")," "),D15)</f>
        <v>Initial</v>
      </c>
      <c r="E16">
        <f>IF(AND(LEFT(C16,1)="#",IFERROR(LEN(_xlfn.TEXTBEFORE(C16," "))=3,0)),_xlfn.TEXTAFTER(C16," "),E15)</f>
        <v>0</v>
      </c>
      <c r="F16" t="str">
        <f>_xlfn.CONCAT(VLOOKUP(D16,tech!$A$13:$B$17,2,0),LEFT(E16,1),IF(G16="","X","Y"))</f>
        <v>10X</v>
      </c>
      <c r="G16" t="str">
        <f>IF(IF(LEFT(C16,1)="-",C16,"")="","",REPLACE(IF(LEFT(C16,1)="-",C16,""),1,1,tech!$H$2))</f>
        <v/>
      </c>
      <c r="H16" t="s">
        <v>495</v>
      </c>
      <c r="I16" s="492"/>
      <c r="J16">
        <f t="shared" ref="J16:J79" si="65">IF(AND(LEFT(I16,1)="#",IFERROR(LEN(_xlfn.TEXTBEFORE(I16," "))=3,0)),_xlfn.TEXTAFTER(I16," "),J15)</f>
        <v>0</v>
      </c>
      <c r="K16">
        <f t="shared" ref="K16:K79" si="66">IF(AND(LEFT(I16,1)="#",IFERROR(LEN(_xlfn.TEXTBEFORE(I16," "))=4,0)),_xlfn.TEXTAFTER(I16," "),K15)</f>
        <v>0</v>
      </c>
      <c r="L16" t="str">
        <f t="shared" ref="L16:L79" si="67">_xlfn.CONCAT(IFERROR(VLOOKUP(J16,$L$4:$M$13,2,0),""),LEFT(K16,1),IF(M16="",IF(AND(M15&lt;&gt;"",M17&lt;&gt;""),"Y","X"),"Y"))</f>
        <v>0X</v>
      </c>
      <c r="M16" t="str">
        <f>IF(AND(I16&lt;&gt;"",LEFT(I16,1)&lt;&gt;"#"),IF(LEFT(I16,1)="-",REPLACE(I16,1,1,tech!$H$2),I16),"")</f>
        <v/>
      </c>
      <c r="N16" t="s">
        <v>495</v>
      </c>
      <c r="O16" s="492"/>
      <c r="P16">
        <f t="shared" ref="P16:P74" si="68">IF(AND(LEFT(O16,1)="#",IFERROR(LEN(_xlfn.TEXTBEFORE(O16," "))=3,0)),_xlfn.TEXTAFTER(O16," "),P15)</f>
        <v>0</v>
      </c>
      <c r="Q16">
        <f t="shared" ref="Q16:Q79" si="69">IF(AND(LEFT(O16,1)="#",IFERROR(LEN(_xlfn.TEXTBEFORE(O16," "))=4,0)),_xlfn.TEXTAFTER(O16," "),Q15)</f>
        <v>0</v>
      </c>
      <c r="R16" t="str">
        <f t="shared" ref="R16:R79" si="70">_xlfn.CONCAT(IFERROR(VLOOKUP(P16,$R$4:$S$13,2,0),""),LEFT(Q16,1),IF(S16="",IF(AND(S15&lt;&gt;"",S17&lt;&gt;""),"Y","X"),"Y"))</f>
        <v>0X</v>
      </c>
      <c r="S16" t="str">
        <f>IF(AND(O16&lt;&gt;"",LEFT(O16,1)&lt;&gt;"#"),IF(LEFT(O16,1)="-",REPLACE(O16,1,1,tech!$H$2),O16),"")</f>
        <v/>
      </c>
      <c r="T16" t="s">
        <v>495</v>
      </c>
      <c r="U16" s="492"/>
      <c r="V16">
        <f t="shared" ref="V16:V74" si="71">IF(AND(LEFT(U16,1)="#",IFERROR(LEN(_xlfn.TEXTBEFORE(U16," "))=3,0)),_xlfn.TEXTAFTER(U16," "),V15)</f>
        <v>0</v>
      </c>
      <c r="W16">
        <f t="shared" ref="W16:W79" si="72">IF(AND(LEFT(U16,1)="#",IFERROR(LEN(_xlfn.TEXTBEFORE(U16," "))=4,0)),_xlfn.TEXTAFTER(U16," "),W15)</f>
        <v>0</v>
      </c>
      <c r="X16" t="str">
        <f t="shared" ref="X16:X79" si="73">_xlfn.CONCAT(IFERROR(VLOOKUP(V16,X$4:Y$13,2,0),""),LEFT(W16,1),IF(Y16="",IF(AND(Y15&lt;&gt;"",Y17&lt;&gt;""),"Y","X"),"Y"))</f>
        <v>0X</v>
      </c>
      <c r="Y16" t="str">
        <f>IF(AND(U16&lt;&gt;"",LEFT(U16,1)&lt;&gt;"#"),IF(LEFT(U16,1)="-",REPLACE(U16,1,1,tech!$H$2),U16),"")</f>
        <v/>
      </c>
      <c r="Z16" t="s">
        <v>495</v>
      </c>
      <c r="AA16" s="492"/>
      <c r="AB16">
        <f t="shared" ref="AB16:AB74" si="74">IF(AND(LEFT(AA16,1)="#",IFERROR(LEN(_xlfn.TEXTBEFORE(AA16," "))=3,0)),_xlfn.TEXTAFTER(AA16," "),AB15)</f>
        <v>0</v>
      </c>
      <c r="AC16">
        <f t="shared" ref="AC16:AC79" si="75">IF(AND(LEFT(AA16,1)="#",IFERROR(LEN(_xlfn.TEXTBEFORE(AA16," "))=4,0)),_xlfn.TEXTAFTER(AA16," "),AC15)</f>
        <v>0</v>
      </c>
      <c r="AD16" t="str">
        <f t="shared" ref="AD16:AD79" si="76">_xlfn.CONCAT(IFERROR(VLOOKUP(AB16,AD$4:AE$13,2,0),""),LEFT(AC16,1),IF(AE16="",IF(AND(AE15&lt;&gt;"",AE17&lt;&gt;""),"Y","X"),"Y"))</f>
        <v>0X</v>
      </c>
      <c r="AE16" t="str">
        <f>IF(AND(AA16&lt;&gt;"",LEFT(AA16,1)&lt;&gt;"#"),IF(LEFT(AA16,1)="-",REPLACE(AA16,1,1,tech!$H$2),AA16),"")</f>
        <v/>
      </c>
      <c r="AF16" t="s">
        <v>495</v>
      </c>
      <c r="AG16" s="492"/>
      <c r="AH16">
        <f t="shared" ref="AH16:AH74" si="77">IF(AND(LEFT(AG16,1)="#",IFERROR(LEN(_xlfn.TEXTBEFORE(AG16," "))=3,0)),_xlfn.TEXTAFTER(AG16," "),AH15)</f>
        <v>0</v>
      </c>
      <c r="AI16">
        <f t="shared" ref="AI16:AI79" si="78">IF(AND(LEFT(AG16,1)="#",IFERROR(LEN(_xlfn.TEXTBEFORE(AG16," "))=4,0)),_xlfn.TEXTAFTER(AG16," "),AI15)</f>
        <v>0</v>
      </c>
      <c r="AJ16" t="str">
        <f t="shared" ref="AJ16:AJ79" si="79">_xlfn.CONCAT(IFERROR(VLOOKUP(AH16,AJ$4:AK$13,2,0),""),LEFT(AI16,1),IF(AK16="",IF(AND(AK15&lt;&gt;"",AK17&lt;&gt;""),"Y","X"),"Y"))</f>
        <v>0X</v>
      </c>
      <c r="AK16" t="str">
        <f>IF(AND(AG16&lt;&gt;"",LEFT(AG16,1)&lt;&gt;"#"),IF(LEFT(AG16,1)="-",REPLACE(AG16,1,1,tech!$H$2),AG16),"")</f>
        <v/>
      </c>
      <c r="AL16" t="s">
        <v>495</v>
      </c>
      <c r="AM16" s="492"/>
      <c r="AN16">
        <f t="shared" ref="AN16:AN74" si="80">IF(AND(LEFT(AM16,1)="#",IFERROR(LEN(_xlfn.TEXTBEFORE(AM16," "))=3,0)),_xlfn.TEXTAFTER(AM16," "),AN15)</f>
        <v>0</v>
      </c>
      <c r="AO16">
        <f t="shared" ref="AO16:AO79" si="81">IF(AND(LEFT(AM16,1)="#",IFERROR(LEN(_xlfn.TEXTBEFORE(AM16," "))=4,0)),_xlfn.TEXTAFTER(AM16," "),AO15)</f>
        <v>0</v>
      </c>
      <c r="AP16" t="str">
        <f t="shared" ref="AP16:AP79" si="82">_xlfn.CONCAT(IFERROR(VLOOKUP(AN16,AP$4:AQ$13,2,0),""),LEFT(AO16,1),IF(AQ16="",IF(AND(AQ15&lt;&gt;"",AQ17&lt;&gt;""),"Y","X"),"Y"))</f>
        <v>0X</v>
      </c>
      <c r="AQ16" t="str">
        <f>IF(AND(AM16&lt;&gt;"",LEFT(AM16,1)&lt;&gt;"#"),IF(LEFT(AM16,1)="-",REPLACE(AM16,1,1,tech!$H$2),AM16),"")</f>
        <v/>
      </c>
      <c r="AR16" t="s">
        <v>495</v>
      </c>
      <c r="AS16" s="492"/>
      <c r="AT16">
        <f t="shared" ref="AT16:AT74" si="83">IF(AND(LEFT(AS16,1)="#",IFERROR(LEN(_xlfn.TEXTBEFORE(AS16," "))=3,0)),_xlfn.TEXTAFTER(AS16," "),AT15)</f>
        <v>0</v>
      </c>
      <c r="AU16">
        <f t="shared" ref="AU16:AU79" si="84">IF(AND(LEFT(AS16,1)="#",IFERROR(LEN(_xlfn.TEXTBEFORE(AS16," "))=4,0)),_xlfn.TEXTAFTER(AS16," "),AU15)</f>
        <v>0</v>
      </c>
      <c r="AV16" t="str">
        <f t="shared" ref="AV16:AV79" si="85">_xlfn.CONCAT(IFERROR(VLOOKUP(AT16,AV$4:AW$13,2,0),""),LEFT(AU16,1),IF(AW16="",IF(AND(AW15&lt;&gt;"",AW17&lt;&gt;""),"Y","X"),"Y"))</f>
        <v>0X</v>
      </c>
      <c r="AW16" t="str">
        <f>IF(AND(AS16&lt;&gt;"",LEFT(AS16,1)&lt;&gt;"#"),IF(LEFT(AS16,1)="-",REPLACE(AS16,1,1,tech!$H$2),AS16),"")</f>
        <v/>
      </c>
      <c r="AX16" t="s">
        <v>495</v>
      </c>
      <c r="AY16" s="492"/>
      <c r="AZ16">
        <f t="shared" ref="AZ16:AZ74" si="86">IF(AND(LEFT(AY16,1)="#",IFERROR(LEN(_xlfn.TEXTBEFORE(AY16," "))=3,0)),_xlfn.TEXTAFTER(AY16," "),AZ15)</f>
        <v>0</v>
      </c>
      <c r="BA16">
        <f t="shared" ref="BA16:BA79" si="87">IF(AND(LEFT(AY16,1)="#",IFERROR(LEN(_xlfn.TEXTBEFORE(AY16," "))=4,0)),_xlfn.TEXTAFTER(AY16," "),BA15)</f>
        <v>0</v>
      </c>
      <c r="BB16" t="str">
        <f t="shared" ref="BB16:BB79" si="88">_xlfn.CONCAT(IFERROR(VLOOKUP(AZ16,BB$4:BC$13,2,0),""),LEFT(BA16,1),IF(BC16="",IF(AND(BC15&lt;&gt;"",BC17&lt;&gt;""),"Y","X"),"Y"))</f>
        <v>0X</v>
      </c>
      <c r="BC16" t="str">
        <f>IF(AND(AY16&lt;&gt;"",LEFT(AY16,1)&lt;&gt;"#"),IF(LEFT(AY16,1)="-",REPLACE(AY16,1,1,tech!$H$2),AY16),"")</f>
        <v/>
      </c>
      <c r="BD16" t="s">
        <v>495</v>
      </c>
      <c r="BE16" s="492"/>
      <c r="BF16">
        <f t="shared" ref="BF16:BF74" si="89">IF(AND(LEFT(BE16,1)="#",IFERROR(LEN(_xlfn.TEXTBEFORE(BE16," "))=3,0)),_xlfn.TEXTAFTER(BE16," "),BF15)</f>
        <v>0</v>
      </c>
      <c r="BG16">
        <f t="shared" ref="BG16:BG79" si="90">IF(AND(LEFT(BE16,1)="#",IFERROR(LEN(_xlfn.TEXTBEFORE(BE16," "))=4,0)),_xlfn.TEXTAFTER(BE16," "),BG15)</f>
        <v>0</v>
      </c>
      <c r="BH16" t="str">
        <f t="shared" ref="BH16:BH79" si="91">_xlfn.CONCAT(IFERROR(VLOOKUP(BF16,BH$4:BI$13,2,0),""),LEFT(BG16,1),IF(BI16="",IF(AND(BI15&lt;&gt;"",BI17&lt;&gt;""),"Y","X"),"Y"))</f>
        <v>0X</v>
      </c>
      <c r="BI16" t="str">
        <f>IF(AND(BE16&lt;&gt;"",LEFT(BE16,1)&lt;&gt;"#"),IF(LEFT(BE16,1)="-",REPLACE(BE16,1,1,tech!$H$2),BE16),"")</f>
        <v/>
      </c>
      <c r="BJ16" t="s">
        <v>495</v>
      </c>
      <c r="BK16" s="492"/>
      <c r="BL16">
        <f t="shared" ref="BL16:BL74" si="92">IF(AND(LEFT(BK16,1)="#",IFERROR(LEN(_xlfn.TEXTBEFORE(BK16," "))=3,0)),_xlfn.TEXTAFTER(BK16," "),BL15)</f>
        <v>0</v>
      </c>
      <c r="BM16">
        <f t="shared" ref="BM16:BM79" si="93">IF(AND(LEFT(BK16,1)="#",IFERROR(LEN(_xlfn.TEXTBEFORE(BK16," "))=4,0)),_xlfn.TEXTAFTER(BK16," "),BM15)</f>
        <v>0</v>
      </c>
      <c r="BN16" t="str">
        <f t="shared" ref="BN16:BN79" si="94">_xlfn.CONCAT(IFERROR(VLOOKUP(BL16,BN$4:BO$13,2,0),""),LEFT(BM16,1),IF(BO16="",IF(AND(BO15&lt;&gt;"",BO17&lt;&gt;""),"Y","X"),"Y"))</f>
        <v>0X</v>
      </c>
      <c r="BO16" t="str">
        <f>IF(AND(BK16&lt;&gt;"",LEFT(BK16,1)&lt;&gt;"#"),IF(LEFT(BK16,1)="-",REPLACE(BK16,1,1,tech!$H$2),BK16),"")</f>
        <v/>
      </c>
      <c r="BP16" t="s">
        <v>495</v>
      </c>
      <c r="BQ16" s="492"/>
      <c r="BR16">
        <f t="shared" ref="BR16:BR74" si="95">IF(AND(LEFT(BQ16,1)="#",IFERROR(LEN(_xlfn.TEXTBEFORE(BQ16," "))=3,0)),_xlfn.TEXTAFTER(BQ16," "),BR15)</f>
        <v>0</v>
      </c>
      <c r="BS16">
        <f t="shared" ref="BS16:BS79" si="96">IF(AND(LEFT(BQ16,1)="#",IFERROR(LEN(_xlfn.TEXTBEFORE(BQ16," "))=4,0)),_xlfn.TEXTAFTER(BQ16," "),BS15)</f>
        <v>0</v>
      </c>
      <c r="BT16" t="str">
        <f t="shared" ref="BT16:BT79" si="97">_xlfn.CONCAT(IFERROR(VLOOKUP(BR16,BT$4:BU$13,2,0),""),LEFT(BS16,1),IF(BU16="",IF(AND(BU15&lt;&gt;"",BU17&lt;&gt;""),"Y","X"),"Y"))</f>
        <v>0X</v>
      </c>
      <c r="BU16" t="str">
        <f>IF(AND(BQ16&lt;&gt;"",LEFT(BQ16,1)&lt;&gt;"#"),IF(LEFT(BQ16,1)="-",REPLACE(BQ16,1,1,tech!$H$2),BQ16),"")</f>
        <v/>
      </c>
      <c r="BV16" t="s">
        <v>495</v>
      </c>
      <c r="BW16" s="492"/>
      <c r="BX16">
        <f t="shared" ref="BX16:BX74" si="98">IF(AND(LEFT(BW16,1)="#",IFERROR(LEN(_xlfn.TEXTBEFORE(BW16," "))=3,0)),_xlfn.TEXTAFTER(BW16," "),BX15)</f>
        <v>0</v>
      </c>
      <c r="BY16">
        <f t="shared" ref="BY16:BY79" si="99">IF(AND(LEFT(BW16,1)="#",IFERROR(LEN(_xlfn.TEXTBEFORE(BW16," "))=4,0)),_xlfn.TEXTAFTER(BW16," "),BY15)</f>
        <v>0</v>
      </c>
      <c r="BZ16" t="str">
        <f t="shared" ref="BZ16:BZ79" si="100">_xlfn.CONCAT(IFERROR(VLOOKUP(BX16,BZ$4:CA$13,2,0),""),LEFT(BY16,1),IF(CA16="",IF(AND(CA15&lt;&gt;"",CA17&lt;&gt;""),"Y","X"),"Y"))</f>
        <v>0X</v>
      </c>
      <c r="CA16" t="str">
        <f>IF(AND(BW16&lt;&gt;"",LEFT(BW16,1)&lt;&gt;"#"),IF(LEFT(BW16,1)="-",REPLACE(BW16,1,1,tech!$H$2),BW16),"")</f>
        <v/>
      </c>
      <c r="CB16" t="s">
        <v>495</v>
      </c>
      <c r="CC16" s="492"/>
      <c r="CD16">
        <f t="shared" ref="CD16:CD74" si="101">IF(AND(LEFT(CC16,1)="#",IFERROR(LEN(_xlfn.TEXTBEFORE(CC16," "))=3,0)),_xlfn.TEXTAFTER(CC16," "),CD15)</f>
        <v>0</v>
      </c>
      <c r="CE16">
        <f t="shared" ref="CE16:CE79" si="102">IF(AND(LEFT(CC16,1)="#",IFERROR(LEN(_xlfn.TEXTBEFORE(CC16," "))=4,0)),_xlfn.TEXTAFTER(CC16," "),CE15)</f>
        <v>0</v>
      </c>
      <c r="CF16" t="str">
        <f t="shared" ref="CF16:CF79" si="103">_xlfn.CONCAT(IFERROR(VLOOKUP(CD16,CF$4:CG$13,2,0),""),LEFT(CE16,1),IF(CG16="",IF(AND(CG15&lt;&gt;"",CG17&lt;&gt;""),"Y","X"),"Y"))</f>
        <v>0X</v>
      </c>
      <c r="CG16" t="str">
        <f>IF(AND(CC16&lt;&gt;"",LEFT(CC16,1)&lt;&gt;"#"),IF(LEFT(CC16,1)="-",REPLACE(CC16,1,1,tech!$H$2),CC16),"")</f>
        <v/>
      </c>
      <c r="CH16" t="s">
        <v>495</v>
      </c>
      <c r="CI16" s="492"/>
      <c r="CJ16">
        <f t="shared" ref="CJ16:CJ74" si="104">IF(AND(LEFT(CI16,1)="#",IFERROR(LEN(_xlfn.TEXTBEFORE(CI16," "))=3,0)),_xlfn.TEXTAFTER(CI16," "),CJ15)</f>
        <v>0</v>
      </c>
      <c r="CK16">
        <f t="shared" ref="CK16:CK79" si="105">IF(AND(LEFT(CI16,1)="#",IFERROR(LEN(_xlfn.TEXTBEFORE(CI16," "))=4,0)),_xlfn.TEXTAFTER(CI16," "),CK15)</f>
        <v>0</v>
      </c>
      <c r="CL16" t="str">
        <f t="shared" ref="CL16:CL79" si="106">_xlfn.CONCAT(IFERROR(VLOOKUP(CJ16,CL$4:CM$13,2,0),""),LEFT(CK16,1),IF(CM16="",IF(AND(CM15&lt;&gt;"",CM17&lt;&gt;""),"Y","X"),"Y"))</f>
        <v>0X</v>
      </c>
      <c r="CM16" t="str">
        <f>IF(AND(CI16&lt;&gt;"",LEFT(CI16,1)&lt;&gt;"#"),IF(LEFT(CI16,1)="-",REPLACE(CI16,1,1,tech!$H$2),CI16),"")</f>
        <v/>
      </c>
      <c r="CN16" t="s">
        <v>495</v>
      </c>
      <c r="CO16" s="492"/>
      <c r="CP16">
        <f t="shared" ref="CP16:CP74" si="107">IF(AND(LEFT(CO16,1)="#",IFERROR(LEN(_xlfn.TEXTBEFORE(CO16," "))=3,0)),_xlfn.TEXTAFTER(CO16," "),CP15)</f>
        <v>0</v>
      </c>
      <c r="CQ16">
        <f t="shared" ref="CQ16:CQ79" si="108">IF(AND(LEFT(CO16,1)="#",IFERROR(LEN(_xlfn.TEXTBEFORE(CO16," "))=4,0)),_xlfn.TEXTAFTER(CO16," "),CQ15)</f>
        <v>0</v>
      </c>
      <c r="CR16" t="str">
        <f t="shared" ref="CR16:CR79" si="109">_xlfn.CONCAT(IFERROR(VLOOKUP(CP16,CR$4:CS$13,2,0),""),LEFT(CQ16,1),IF(CS16="",IF(AND(CS15&lt;&gt;"",CS17&lt;&gt;""),"Y","X"),"Y"))</f>
        <v>0X</v>
      </c>
      <c r="CS16" t="str">
        <f>IF(AND(CO16&lt;&gt;"",LEFT(CO16,1)&lt;&gt;"#"),IF(LEFT(CO16,1)="-",REPLACE(CO16,1,1,tech!$H$2),CO16),"")</f>
        <v/>
      </c>
      <c r="CT16" t="s">
        <v>495</v>
      </c>
      <c r="CU16" s="492" t="s">
        <v>1415</v>
      </c>
      <c r="CV16" t="str">
        <f>IF(CU16="","",VLOOKUP(_xlfn.TEXTBEFORE(_xlfn.TEXTAFTER(CU16,"["),"]"),tech!$E$117:$F$131,2,0))</f>
        <v>3.4.</v>
      </c>
      <c r="CW16" t="str">
        <f t="shared" si="30"/>
        <v>Automation of certificate lifecycle management. Technology and tools for the automation. Monitoring of automated certificate operations.</v>
      </c>
      <c r="CX16" t="s">
        <v>495</v>
      </c>
      <c r="CY16" s="492" t="s">
        <v>1432</v>
      </c>
      <c r="CZ16" t="str">
        <f t="shared" si="31"/>
        <v>Automation</v>
      </c>
      <c r="DA16" t="str">
        <f t="shared" si="32"/>
        <v>2</v>
      </c>
      <c r="DB16" t="s">
        <v>495</v>
      </c>
    </row>
    <row r="17" spans="3:106" x14ac:dyDescent="0.25">
      <c r="C17" s="492" t="s">
        <v>445</v>
      </c>
      <c r="D17" t="str">
        <f t="shared" si="64"/>
        <v>Initial</v>
      </c>
      <c r="E17" t="str">
        <f t="shared" ref="E17:E79" si="110">IF(AND(LEFT(C17,1)="#",IFERROR(LEN(_xlfn.TEXTBEFORE(C17," "))=3,0)),_xlfn.TEXTAFTER(C17," "),E16)</f>
        <v>Indicators</v>
      </c>
      <c r="F17" t="str">
        <f>_xlfn.CONCAT(VLOOKUP(D17,tech!$A$13:$B$17,2,0),LEFT(E17,1),IF(G17="","X","Y"))</f>
        <v>1IX</v>
      </c>
      <c r="G17" t="str">
        <f>IF(IF(LEFT(C17,1)="-",C17,"")="","",REPLACE(IF(LEFT(C17,1)="-",C17,""),1,1,tech!$H$2))</f>
        <v/>
      </c>
      <c r="H17" t="s">
        <v>495</v>
      </c>
      <c r="I17" s="492" t="s">
        <v>497</v>
      </c>
      <c r="J17" t="str">
        <f t="shared" si="65"/>
        <v>Organizational sponsor and support</v>
      </c>
      <c r="K17">
        <f t="shared" si="66"/>
        <v>0</v>
      </c>
      <c r="L17" t="str">
        <f t="shared" si="67"/>
        <v>1.1.1.0X</v>
      </c>
      <c r="M17" t="str">
        <f>IF(AND(I17&lt;&gt;"",LEFT(I17,1)&lt;&gt;"#"),IF(LEFT(I17,1)="-",REPLACE(I17,1,1,tech!$H$2),I17),"")</f>
        <v/>
      </c>
      <c r="N17" t="s">
        <v>495</v>
      </c>
      <c r="O17" s="492" t="s">
        <v>547</v>
      </c>
      <c r="P17" t="str">
        <f t="shared" si="68"/>
        <v>The scope of policies is defined and documented</v>
      </c>
      <c r="Q17">
        <f t="shared" si="69"/>
        <v>0</v>
      </c>
      <c r="R17" t="str">
        <f t="shared" si="70"/>
        <v>1.2.1.0X</v>
      </c>
      <c r="S17" t="str">
        <f>IF(AND(O17&lt;&gt;"",LEFT(O17,1)&lt;&gt;"#"),IF(LEFT(O17,1)="-",REPLACE(O17,1,1,tech!$H$2),O17),"")</f>
        <v/>
      </c>
      <c r="T17" t="s">
        <v>495</v>
      </c>
      <c r="U17" s="492" t="s">
        <v>618</v>
      </c>
      <c r="V17" t="str">
        <f t="shared" si="71"/>
        <v>Compliance policies are defined, implemented, and communicated</v>
      </c>
      <c r="W17">
        <f t="shared" si="72"/>
        <v>0</v>
      </c>
      <c r="X17" t="str">
        <f t="shared" si="73"/>
        <v>1.3.1.0X</v>
      </c>
      <c r="Y17" t="str">
        <f>IF(AND(U17&lt;&gt;"",LEFT(U17,1)&lt;&gt;"#"),IF(LEFT(U17,1)="-",REPLACE(U17,1,1,tech!$H$2),U17),"")</f>
        <v/>
      </c>
      <c r="Z17" t="s">
        <v>495</v>
      </c>
      <c r="AA17" s="492" t="s">
        <v>659</v>
      </c>
      <c r="AB17" t="str">
        <f t="shared" si="74"/>
        <v>Scope of processes and procedure is aligned with policies</v>
      </c>
      <c r="AC17">
        <f t="shared" si="75"/>
        <v>0</v>
      </c>
      <c r="AD17" t="str">
        <f t="shared" si="76"/>
        <v>1.4.1.0X</v>
      </c>
      <c r="AE17" t="str">
        <f>IF(AND(AA17&lt;&gt;"",LEFT(AA17,1)&lt;&gt;"#"),IF(LEFT(AA17,1)="-",REPLACE(AA17,1,1,tech!$H$2),AA17),"")</f>
        <v/>
      </c>
      <c r="AF17" t="s">
        <v>495</v>
      </c>
      <c r="AG17" s="492" t="s">
        <v>702</v>
      </c>
      <c r="AH17" t="str">
        <f t="shared" si="77"/>
        <v>Key management roles and responsibilities are documented and formally assigned</v>
      </c>
      <c r="AI17">
        <f t="shared" si="78"/>
        <v>0</v>
      </c>
      <c r="AJ17" t="str">
        <f t="shared" si="79"/>
        <v>2.1.1.0X</v>
      </c>
      <c r="AK17" t="str">
        <f>IF(AND(AG17&lt;&gt;"",LEFT(AG17,1)&lt;&gt;"#"),IF(LEFT(AG17,1)="-",REPLACE(AG17,1,1,tech!$H$2),AG17),"")</f>
        <v/>
      </c>
      <c r="AL17" t="s">
        <v>495</v>
      </c>
      <c r="AM17" s="492" t="s">
        <v>777</v>
      </c>
      <c r="AN17" t="str">
        <f t="shared" si="80"/>
        <v>Certificate profiles are documented</v>
      </c>
      <c r="AO17">
        <f t="shared" si="81"/>
        <v>0</v>
      </c>
      <c r="AP17" t="str">
        <f t="shared" si="82"/>
        <v>2.2.1.0X</v>
      </c>
      <c r="AQ17" t="str">
        <f>IF(AND(AM17&lt;&gt;"",LEFT(AM17,1)&lt;&gt;"#"),IF(LEFT(AM17,1)="-",REPLACE(AM17,1,1,tech!$H$2),AM17),"")</f>
        <v/>
      </c>
      <c r="AR17" t="s">
        <v>495</v>
      </c>
      <c r="AS17" s="492" t="s">
        <v>892</v>
      </c>
      <c r="AT17" t="str">
        <f t="shared" si="83"/>
        <v>Network and deployment infrastructure is documented</v>
      </c>
      <c r="AU17">
        <f t="shared" si="84"/>
        <v>0</v>
      </c>
      <c r="AV17" t="str">
        <f t="shared" si="85"/>
        <v>2.3.1.0X</v>
      </c>
      <c r="AW17" t="str">
        <f>IF(AND(AS17&lt;&gt;"",LEFT(AS17,1)&lt;&gt;"#"),IF(LEFT(AS17,1)="-",REPLACE(AS17,1,1,tech!$H$2),AS17),"")</f>
        <v/>
      </c>
      <c r="AX17" t="s">
        <v>495</v>
      </c>
      <c r="AY17" s="492" t="s">
        <v>960</v>
      </c>
      <c r="AZ17" t="str">
        <f t="shared" si="86"/>
        <v>The policy for change management and agility is documented</v>
      </c>
      <c r="BA17">
        <f t="shared" si="87"/>
        <v>0</v>
      </c>
      <c r="BB17" t="str">
        <f t="shared" si="88"/>
        <v>2.4.1.0X</v>
      </c>
      <c r="BC17" t="str">
        <f>IF(AND(AY17&lt;&gt;"",LEFT(AY17,1)&lt;&gt;"#"),IF(LEFT(AY17,1)="-",REPLACE(AY17,1,1,tech!$H$2),AY17),"")</f>
        <v/>
      </c>
      <c r="BD17" t="s">
        <v>495</v>
      </c>
      <c r="BE17" s="492" t="s">
        <v>1018</v>
      </c>
      <c r="BF17" t="str">
        <f t="shared" si="89"/>
        <v>Risk assessment and business impact analysis</v>
      </c>
      <c r="BG17">
        <f t="shared" si="90"/>
        <v>0</v>
      </c>
      <c r="BH17" t="str">
        <f t="shared" si="91"/>
        <v>3.1.1.0X</v>
      </c>
      <c r="BI17" t="str">
        <f>IF(AND(BE17&lt;&gt;"",LEFT(BE17,1)&lt;&gt;"#"),IF(LEFT(BE17,1)="-",REPLACE(BE17,1,1,tech!$H$2),BE17),"")</f>
        <v/>
      </c>
      <c r="BJ17" t="s">
        <v>495</v>
      </c>
      <c r="BK17" s="492" t="s">
        <v>1092</v>
      </c>
      <c r="BL17" t="str">
        <f t="shared" si="92"/>
        <v>Maintain PKI interoperability strategy</v>
      </c>
      <c r="BM17">
        <f t="shared" si="93"/>
        <v>0</v>
      </c>
      <c r="BN17" t="str">
        <f t="shared" si="94"/>
        <v>3.2.1.0X</v>
      </c>
      <c r="BO17" t="str">
        <f>IF(AND(BK17&lt;&gt;"",LEFT(BK17,1)&lt;&gt;"#"),IF(LEFT(BK17,1)="-",REPLACE(BK17,1,1,tech!$H$2),BK17),"")</f>
        <v/>
      </c>
      <c r="BP17" t="s">
        <v>495</v>
      </c>
      <c r="BQ17" s="492" t="s">
        <v>1142</v>
      </c>
      <c r="BR17" t="str">
        <f t="shared" si="95"/>
        <v>Monitoring events and logging requirements are defined and documented</v>
      </c>
      <c r="BS17">
        <f t="shared" si="96"/>
        <v>0</v>
      </c>
      <c r="BT17" t="str">
        <f t="shared" si="97"/>
        <v>3.3.1.0X</v>
      </c>
      <c r="BU17" t="str">
        <f>IF(AND(BQ17&lt;&gt;"",LEFT(BQ17,1)&lt;&gt;"#"),IF(LEFT(BQ17,1)="-",REPLACE(BQ17,1,1,tech!$H$2),BQ17),"")</f>
        <v/>
      </c>
      <c r="BV17" t="s">
        <v>495</v>
      </c>
      <c r="BW17" s="492" t="s">
        <v>1214</v>
      </c>
      <c r="BX17" t="str">
        <f t="shared" si="98"/>
        <v>Process automation description</v>
      </c>
      <c r="BY17">
        <f t="shared" si="99"/>
        <v>0</v>
      </c>
      <c r="BZ17" t="str">
        <f t="shared" si="100"/>
        <v>3.4.1.0X</v>
      </c>
      <c r="CA17" t="str">
        <f>IF(AND(BW17&lt;&gt;"",LEFT(BW17,1)&lt;&gt;"#"),IF(LEFT(BW17,1)="-",REPLACE(BW17,1,1,tech!$H$2),BW17),"")</f>
        <v/>
      </c>
      <c r="CB17" t="s">
        <v>495</v>
      </c>
      <c r="CC17" s="492" t="s">
        <v>1255</v>
      </c>
      <c r="CD17" t="str">
        <f t="shared" si="101"/>
        <v>Resources are identified and documented</v>
      </c>
      <c r="CE17">
        <f t="shared" si="102"/>
        <v>0</v>
      </c>
      <c r="CF17" t="str">
        <f t="shared" si="103"/>
        <v>4.1.1.0X</v>
      </c>
      <c r="CG17" t="str">
        <f>IF(AND(CC17&lt;&gt;"",LEFT(CC17,1)&lt;&gt;"#"),IF(LEFT(CC17,1)="-",REPLACE(CC17,1,1,tech!$H$2),CC17),"")</f>
        <v/>
      </c>
      <c r="CH17" t="s">
        <v>495</v>
      </c>
      <c r="CI17" s="492" t="s">
        <v>1290</v>
      </c>
      <c r="CJ17" t="str">
        <f t="shared" si="104"/>
        <v>Establish training plan</v>
      </c>
      <c r="CK17">
        <f t="shared" si="105"/>
        <v>0</v>
      </c>
      <c r="CL17" t="str">
        <f t="shared" si="106"/>
        <v>4.2.1.0X</v>
      </c>
      <c r="CM17" t="str">
        <f>IF(AND(CI17&lt;&gt;"",LEFT(CI17,1)&lt;&gt;"#"),IF(LEFT(CI17,1)="-",REPLACE(CI17,1,1,tech!$H$2),CI17),"")</f>
        <v/>
      </c>
      <c r="CN17" t="s">
        <v>495</v>
      </c>
      <c r="CO17" s="492" t="s">
        <v>1366</v>
      </c>
      <c r="CP17" t="str">
        <f t="shared" si="107"/>
        <v>Establish and maintain awareness plan</v>
      </c>
      <c r="CQ17">
        <f t="shared" si="108"/>
        <v>0</v>
      </c>
      <c r="CR17" t="str">
        <f t="shared" si="109"/>
        <v>4.3.1.0X</v>
      </c>
      <c r="CS17" t="str">
        <f>IF(AND(CO17&lt;&gt;"",LEFT(CO17,1)&lt;&gt;"#"),IF(LEFT(CO17,1)="-",REPLACE(CO17,1,1,tech!$H$2),CO17),"")</f>
        <v/>
      </c>
      <c r="CT17" t="s">
        <v>495</v>
      </c>
      <c r="CU17" s="492" t="s">
        <v>1416</v>
      </c>
      <c r="CV17" t="str">
        <f>IF(CU17="","",VLOOKUP(_xlfn.TEXTBEFORE(_xlfn.TEXTAFTER(CU17,"["),"]"),tech!$E$117:$F$131,2,0))</f>
        <v>4.3.</v>
      </c>
      <c r="CW17" t="str">
        <f t="shared" si="30"/>
        <v>Providing awareness about the PKI in the organization and its purpose. Awareness how to apply the PKI in a trusted and secure way.</v>
      </c>
      <c r="CX17" t="s">
        <v>495</v>
      </c>
      <c r="CY17" s="492" t="s">
        <v>1433</v>
      </c>
      <c r="CZ17" t="str">
        <f t="shared" si="31"/>
        <v>Awareness</v>
      </c>
      <c r="DA17" t="str">
        <f t="shared" si="32"/>
        <v>3</v>
      </c>
      <c r="DB17" t="s">
        <v>495</v>
      </c>
    </row>
    <row r="18" spans="3:106" x14ac:dyDescent="0.25">
      <c r="C18" s="492"/>
      <c r="D18" t="str">
        <f t="shared" si="64"/>
        <v>Initial</v>
      </c>
      <c r="E18" t="str">
        <f t="shared" si="110"/>
        <v>Indicators</v>
      </c>
      <c r="F18" t="str">
        <f>_xlfn.CONCAT(VLOOKUP(D18,tech!$A$13:$B$17,2,0),LEFT(E18,1),IF(G18="","X","Y"))</f>
        <v>1IX</v>
      </c>
      <c r="G18" t="str">
        <f>IF(IF(LEFT(C18,1)="-",C18,"")="","",REPLACE(IF(LEFT(C18,1)="-",C18,""),1,1,tech!$H$2))</f>
        <v/>
      </c>
      <c r="H18" t="s">
        <v>495</v>
      </c>
      <c r="I18" s="492"/>
      <c r="J18" t="str">
        <f t="shared" si="65"/>
        <v>Organizational sponsor and support</v>
      </c>
      <c r="K18">
        <f t="shared" si="66"/>
        <v>0</v>
      </c>
      <c r="L18" t="str">
        <f t="shared" si="67"/>
        <v>1.1.1.0X</v>
      </c>
      <c r="M18" t="str">
        <f>IF(AND(I18&lt;&gt;"",LEFT(I18,1)&lt;&gt;"#"),IF(LEFT(I18,1)="-",REPLACE(I18,1,1,tech!$H$2),I18),"")</f>
        <v/>
      </c>
      <c r="N18" t="s">
        <v>495</v>
      </c>
      <c r="O18" s="492"/>
      <c r="P18" t="str">
        <f t="shared" si="68"/>
        <v>The scope of policies is defined and documented</v>
      </c>
      <c r="Q18">
        <f t="shared" si="69"/>
        <v>0</v>
      </c>
      <c r="R18" t="str">
        <f t="shared" si="70"/>
        <v>1.2.1.0X</v>
      </c>
      <c r="S18" t="str">
        <f>IF(AND(O18&lt;&gt;"",LEFT(O18,1)&lt;&gt;"#"),IF(LEFT(O18,1)="-",REPLACE(O18,1,1,tech!$H$2),O18),"")</f>
        <v/>
      </c>
      <c r="T18" t="s">
        <v>495</v>
      </c>
      <c r="U18" s="492"/>
      <c r="V18" t="str">
        <f t="shared" si="71"/>
        <v>Compliance policies are defined, implemented, and communicated</v>
      </c>
      <c r="W18">
        <f t="shared" si="72"/>
        <v>0</v>
      </c>
      <c r="X18" t="str">
        <f t="shared" si="73"/>
        <v>1.3.1.0X</v>
      </c>
      <c r="Y18" t="str">
        <f>IF(AND(U18&lt;&gt;"",LEFT(U18,1)&lt;&gt;"#"),IF(LEFT(U18,1)="-",REPLACE(U18,1,1,tech!$H$2),U18),"")</f>
        <v/>
      </c>
      <c r="Z18" t="s">
        <v>495</v>
      </c>
      <c r="AA18" s="492"/>
      <c r="AB18" t="str">
        <f t="shared" si="74"/>
        <v>Scope of processes and procedure is aligned with policies</v>
      </c>
      <c r="AC18">
        <f t="shared" si="75"/>
        <v>0</v>
      </c>
      <c r="AD18" t="str">
        <f t="shared" si="76"/>
        <v>1.4.1.0X</v>
      </c>
      <c r="AE18" t="str">
        <f>IF(AND(AA18&lt;&gt;"",LEFT(AA18,1)&lt;&gt;"#"),IF(LEFT(AA18,1)="-",REPLACE(AA18,1,1,tech!$H$2),AA18),"")</f>
        <v/>
      </c>
      <c r="AF18" t="s">
        <v>495</v>
      </c>
      <c r="AG18" s="492"/>
      <c r="AH18" t="str">
        <f t="shared" si="77"/>
        <v>Key management roles and responsibilities are documented and formally assigned</v>
      </c>
      <c r="AI18">
        <f t="shared" si="78"/>
        <v>0</v>
      </c>
      <c r="AJ18" t="str">
        <f t="shared" si="79"/>
        <v>2.1.1.0X</v>
      </c>
      <c r="AK18" t="str">
        <f>IF(AND(AG18&lt;&gt;"",LEFT(AG18,1)&lt;&gt;"#"),IF(LEFT(AG18,1)="-",REPLACE(AG18,1,1,tech!$H$2),AG18),"")</f>
        <v/>
      </c>
      <c r="AL18" t="s">
        <v>495</v>
      </c>
      <c r="AM18" s="492"/>
      <c r="AN18" t="str">
        <f t="shared" si="80"/>
        <v>Certificate profiles are documented</v>
      </c>
      <c r="AO18">
        <f t="shared" si="81"/>
        <v>0</v>
      </c>
      <c r="AP18" t="str">
        <f t="shared" si="82"/>
        <v>2.2.1.0X</v>
      </c>
      <c r="AQ18" t="str">
        <f>IF(AND(AM18&lt;&gt;"",LEFT(AM18,1)&lt;&gt;"#"),IF(LEFT(AM18,1)="-",REPLACE(AM18,1,1,tech!$H$2),AM18),"")</f>
        <v/>
      </c>
      <c r="AR18" t="s">
        <v>495</v>
      </c>
      <c r="AS18" s="492"/>
      <c r="AT18" t="str">
        <f t="shared" si="83"/>
        <v>Network and deployment infrastructure is documented</v>
      </c>
      <c r="AU18">
        <f t="shared" si="84"/>
        <v>0</v>
      </c>
      <c r="AV18" t="str">
        <f t="shared" si="85"/>
        <v>2.3.1.0X</v>
      </c>
      <c r="AW18" t="str">
        <f>IF(AND(AS18&lt;&gt;"",LEFT(AS18,1)&lt;&gt;"#"),IF(LEFT(AS18,1)="-",REPLACE(AS18,1,1,tech!$H$2),AS18),"")</f>
        <v/>
      </c>
      <c r="AX18" t="s">
        <v>495</v>
      </c>
      <c r="AY18" s="492"/>
      <c r="AZ18" t="str">
        <f t="shared" si="86"/>
        <v>The policy for change management and agility is documented</v>
      </c>
      <c r="BA18">
        <f t="shared" si="87"/>
        <v>0</v>
      </c>
      <c r="BB18" t="str">
        <f t="shared" si="88"/>
        <v>2.4.1.0X</v>
      </c>
      <c r="BC18" t="str">
        <f>IF(AND(AY18&lt;&gt;"",LEFT(AY18,1)&lt;&gt;"#"),IF(LEFT(AY18,1)="-",REPLACE(AY18,1,1,tech!$H$2),AY18),"")</f>
        <v/>
      </c>
      <c r="BD18" t="s">
        <v>495</v>
      </c>
      <c r="BE18" s="492"/>
      <c r="BF18" t="str">
        <f t="shared" si="89"/>
        <v>Risk assessment and business impact analysis</v>
      </c>
      <c r="BG18">
        <f t="shared" si="90"/>
        <v>0</v>
      </c>
      <c r="BH18" t="str">
        <f t="shared" si="91"/>
        <v>3.1.1.0X</v>
      </c>
      <c r="BI18" t="str">
        <f>IF(AND(BE18&lt;&gt;"",LEFT(BE18,1)&lt;&gt;"#"),IF(LEFT(BE18,1)="-",REPLACE(BE18,1,1,tech!$H$2),BE18),"")</f>
        <v/>
      </c>
      <c r="BJ18" t="s">
        <v>495</v>
      </c>
      <c r="BK18" s="492"/>
      <c r="BL18" t="str">
        <f t="shared" si="92"/>
        <v>Maintain PKI interoperability strategy</v>
      </c>
      <c r="BM18">
        <f t="shared" si="93"/>
        <v>0</v>
      </c>
      <c r="BN18" t="str">
        <f t="shared" si="94"/>
        <v>3.2.1.0X</v>
      </c>
      <c r="BO18" t="str">
        <f>IF(AND(BK18&lt;&gt;"",LEFT(BK18,1)&lt;&gt;"#"),IF(LEFT(BK18,1)="-",REPLACE(BK18,1,1,tech!$H$2),BK18),"")</f>
        <v/>
      </c>
      <c r="BP18" t="s">
        <v>495</v>
      </c>
      <c r="BQ18" s="492"/>
      <c r="BR18" t="str">
        <f t="shared" si="95"/>
        <v>Monitoring events and logging requirements are defined and documented</v>
      </c>
      <c r="BS18">
        <f t="shared" si="96"/>
        <v>0</v>
      </c>
      <c r="BT18" t="str">
        <f t="shared" si="97"/>
        <v>3.3.1.0X</v>
      </c>
      <c r="BU18" t="str">
        <f>IF(AND(BQ18&lt;&gt;"",LEFT(BQ18,1)&lt;&gt;"#"),IF(LEFT(BQ18,1)="-",REPLACE(BQ18,1,1,tech!$H$2),BQ18),"")</f>
        <v/>
      </c>
      <c r="BV18" t="s">
        <v>495</v>
      </c>
      <c r="BW18" s="492"/>
      <c r="BX18" t="str">
        <f t="shared" si="98"/>
        <v>Process automation description</v>
      </c>
      <c r="BY18">
        <f t="shared" si="99"/>
        <v>0</v>
      </c>
      <c r="BZ18" t="str">
        <f t="shared" si="100"/>
        <v>3.4.1.0X</v>
      </c>
      <c r="CA18" t="str">
        <f>IF(AND(BW18&lt;&gt;"",LEFT(BW18,1)&lt;&gt;"#"),IF(LEFT(BW18,1)="-",REPLACE(BW18,1,1,tech!$H$2),BW18),"")</f>
        <v/>
      </c>
      <c r="CB18" t="s">
        <v>495</v>
      </c>
      <c r="CC18" s="492"/>
      <c r="CD18" t="str">
        <f t="shared" si="101"/>
        <v>Resources are identified and documented</v>
      </c>
      <c r="CE18">
        <f t="shared" si="102"/>
        <v>0</v>
      </c>
      <c r="CF18" t="str">
        <f t="shared" si="103"/>
        <v>4.1.1.0X</v>
      </c>
      <c r="CG18" t="str">
        <f>IF(AND(CC18&lt;&gt;"",LEFT(CC18,1)&lt;&gt;"#"),IF(LEFT(CC18,1)="-",REPLACE(CC18,1,1,tech!$H$2),CC18),"")</f>
        <v/>
      </c>
      <c r="CH18" t="s">
        <v>495</v>
      </c>
      <c r="CI18" s="492"/>
      <c r="CJ18" t="str">
        <f t="shared" si="104"/>
        <v>Establish training plan</v>
      </c>
      <c r="CK18">
        <f t="shared" si="105"/>
        <v>0</v>
      </c>
      <c r="CL18" t="str">
        <f t="shared" si="106"/>
        <v>4.2.1.0X</v>
      </c>
      <c r="CM18" t="str">
        <f>IF(AND(CI18&lt;&gt;"",LEFT(CI18,1)&lt;&gt;"#"),IF(LEFT(CI18,1)="-",REPLACE(CI18,1,1,tech!$H$2),CI18),"")</f>
        <v/>
      </c>
      <c r="CN18" t="s">
        <v>495</v>
      </c>
      <c r="CO18" s="492"/>
      <c r="CP18" t="str">
        <f t="shared" si="107"/>
        <v>Establish and maintain awareness plan</v>
      </c>
      <c r="CQ18">
        <f t="shared" si="108"/>
        <v>0</v>
      </c>
      <c r="CR18" t="str">
        <f t="shared" si="109"/>
        <v>4.3.1.0X</v>
      </c>
      <c r="CS18" t="str">
        <f>IF(AND(CO18&lt;&gt;"",LEFT(CO18,1)&lt;&gt;"#"),IF(LEFT(CO18,1)="-",REPLACE(CO18,1,1,tech!$H$2),CO18),"")</f>
        <v/>
      </c>
      <c r="CT18" t="s">
        <v>495</v>
      </c>
      <c r="CU18" s="492" t="s">
        <v>1417</v>
      </c>
      <c r="CV18" t="str">
        <f>IF(CU18="","",VLOOKUP(_xlfn.TEXTBEFORE(_xlfn.TEXTAFTER(CU18,"["),"]"),tech!$E$117:$F$131,2,0))</f>
        <v>3.1.</v>
      </c>
      <c r="CW18" t="str">
        <f t="shared" si="30"/>
        <v>Quickly respond to potential attack and unavailability of the PKI services or other related resources.</v>
      </c>
      <c r="CX18" t="s">
        <v>495</v>
      </c>
      <c r="CY18" s="492" t="s">
        <v>1434</v>
      </c>
      <c r="CZ18" t="str">
        <f t="shared" si="31"/>
        <v>Resilience</v>
      </c>
      <c r="DA18" t="str">
        <f t="shared" si="32"/>
        <v>4</v>
      </c>
      <c r="DB18" t="s">
        <v>495</v>
      </c>
    </row>
    <row r="19" spans="3:106" x14ac:dyDescent="0.25">
      <c r="C19" s="492" t="s">
        <v>446</v>
      </c>
      <c r="D19" t="str">
        <f t="shared" si="64"/>
        <v>Initial</v>
      </c>
      <c r="E19" t="str">
        <f t="shared" si="110"/>
        <v>Indicators</v>
      </c>
      <c r="F19" t="str">
        <f>_xlfn.CONCAT(VLOOKUP(D19,tech!$A$13:$B$17,2,0),LEFT(E19,1),IF(G19="","X","Y"))</f>
        <v>1IY</v>
      </c>
      <c r="G19" t="str">
        <f>IF(IF(LEFT(C19,1)="-",C19,"")="","",REPLACE(IF(LEFT(C19,1)="-",C19,""),1,1,tech!$H$2))</f>
        <v>• PKI is ad-hoc managed, reactive</v>
      </c>
      <c r="H19" t="s">
        <v>495</v>
      </c>
      <c r="I19" s="492" t="s">
        <v>498</v>
      </c>
      <c r="J19" t="str">
        <f t="shared" si="65"/>
        <v>Organizational sponsor and support</v>
      </c>
      <c r="K19" t="str">
        <f t="shared" si="66"/>
        <v>Guidance</v>
      </c>
      <c r="L19" t="str">
        <f t="shared" si="67"/>
        <v>1.1.1.GX</v>
      </c>
      <c r="M19" t="str">
        <f>IF(AND(I19&lt;&gt;"",LEFT(I19,1)&lt;&gt;"#"),IF(LEFT(I19,1)="-",REPLACE(I19,1,1,tech!$H$2),I19),"")</f>
        <v/>
      </c>
      <c r="N19" t="s">
        <v>495</v>
      </c>
      <c r="O19" s="492" t="s">
        <v>498</v>
      </c>
      <c r="P19" t="str">
        <f t="shared" si="68"/>
        <v>The scope of policies is defined and documented</v>
      </c>
      <c r="Q19" t="str">
        <f t="shared" si="69"/>
        <v>Guidance</v>
      </c>
      <c r="R19" t="str">
        <f t="shared" si="70"/>
        <v>1.2.1.GX</v>
      </c>
      <c r="S19" t="str">
        <f>IF(AND(O19&lt;&gt;"",LEFT(O19,1)&lt;&gt;"#"),IF(LEFT(O19,1)="-",REPLACE(O19,1,1,tech!$H$2),O19),"")</f>
        <v/>
      </c>
      <c r="T19" t="s">
        <v>495</v>
      </c>
      <c r="U19" s="492" t="s">
        <v>498</v>
      </c>
      <c r="V19" t="str">
        <f t="shared" si="71"/>
        <v>Compliance policies are defined, implemented, and communicated</v>
      </c>
      <c r="W19" t="str">
        <f t="shared" si="72"/>
        <v>Guidance</v>
      </c>
      <c r="X19" t="str">
        <f t="shared" si="73"/>
        <v>1.3.1.GX</v>
      </c>
      <c r="Y19" t="str">
        <f>IF(AND(U19&lt;&gt;"",LEFT(U19,1)&lt;&gt;"#"),IF(LEFT(U19,1)="-",REPLACE(U19,1,1,tech!$H$2),U19),"")</f>
        <v/>
      </c>
      <c r="Z19" t="s">
        <v>495</v>
      </c>
      <c r="AA19" s="492" t="s">
        <v>498</v>
      </c>
      <c r="AB19" t="str">
        <f t="shared" si="74"/>
        <v>Scope of processes and procedure is aligned with policies</v>
      </c>
      <c r="AC19" t="str">
        <f t="shared" si="75"/>
        <v>Guidance</v>
      </c>
      <c r="AD19" t="str">
        <f t="shared" si="76"/>
        <v>1.4.1.GX</v>
      </c>
      <c r="AE19" t="str">
        <f>IF(AND(AA19&lt;&gt;"",LEFT(AA19,1)&lt;&gt;"#"),IF(LEFT(AA19,1)="-",REPLACE(AA19,1,1,tech!$H$2),AA19),"")</f>
        <v/>
      </c>
      <c r="AF19" t="s">
        <v>495</v>
      </c>
      <c r="AG19" s="492" t="s">
        <v>498</v>
      </c>
      <c r="AH19" t="str">
        <f t="shared" si="77"/>
        <v>Key management roles and responsibilities are documented and formally assigned</v>
      </c>
      <c r="AI19" t="str">
        <f t="shared" si="78"/>
        <v>Guidance</v>
      </c>
      <c r="AJ19" t="str">
        <f t="shared" si="79"/>
        <v>2.1.1.GX</v>
      </c>
      <c r="AK19" t="str">
        <f>IF(AND(AG19&lt;&gt;"",LEFT(AG19,1)&lt;&gt;"#"),IF(LEFT(AG19,1)="-",REPLACE(AG19,1,1,tech!$H$2),AG19),"")</f>
        <v/>
      </c>
      <c r="AL19" t="s">
        <v>495</v>
      </c>
      <c r="AM19" s="492" t="s">
        <v>498</v>
      </c>
      <c r="AN19" t="str">
        <f t="shared" si="80"/>
        <v>Certificate profiles are documented</v>
      </c>
      <c r="AO19" t="str">
        <f t="shared" si="81"/>
        <v>Guidance</v>
      </c>
      <c r="AP19" t="str">
        <f t="shared" si="82"/>
        <v>2.2.1.GX</v>
      </c>
      <c r="AQ19" t="str">
        <f>IF(AND(AM19&lt;&gt;"",LEFT(AM19,1)&lt;&gt;"#"),IF(LEFT(AM19,1)="-",REPLACE(AM19,1,1,tech!$H$2),AM19),"")</f>
        <v/>
      </c>
      <c r="AR19" t="s">
        <v>495</v>
      </c>
      <c r="AS19" s="492" t="s">
        <v>498</v>
      </c>
      <c r="AT19" t="str">
        <f t="shared" si="83"/>
        <v>Network and deployment infrastructure is documented</v>
      </c>
      <c r="AU19" t="str">
        <f t="shared" si="84"/>
        <v>Guidance</v>
      </c>
      <c r="AV19" t="str">
        <f t="shared" si="85"/>
        <v>2.3.1.GX</v>
      </c>
      <c r="AW19" t="str">
        <f>IF(AND(AS19&lt;&gt;"",LEFT(AS19,1)&lt;&gt;"#"),IF(LEFT(AS19,1)="-",REPLACE(AS19,1,1,tech!$H$2),AS19),"")</f>
        <v/>
      </c>
      <c r="AX19" t="s">
        <v>495</v>
      </c>
      <c r="AY19" s="492" t="s">
        <v>498</v>
      </c>
      <c r="AZ19" t="str">
        <f t="shared" si="86"/>
        <v>The policy for change management and agility is documented</v>
      </c>
      <c r="BA19" t="str">
        <f t="shared" si="87"/>
        <v>Guidance</v>
      </c>
      <c r="BB19" t="str">
        <f t="shared" si="88"/>
        <v>2.4.1.GX</v>
      </c>
      <c r="BC19" t="str">
        <f>IF(AND(AY19&lt;&gt;"",LEFT(AY19,1)&lt;&gt;"#"),IF(LEFT(AY19,1)="-",REPLACE(AY19,1,1,tech!$H$2),AY19),"")</f>
        <v/>
      </c>
      <c r="BD19" t="s">
        <v>495</v>
      </c>
      <c r="BE19" s="492" t="s">
        <v>498</v>
      </c>
      <c r="BF19" t="str">
        <f t="shared" si="89"/>
        <v>Risk assessment and business impact analysis</v>
      </c>
      <c r="BG19" t="str">
        <f t="shared" si="90"/>
        <v>Guidance</v>
      </c>
      <c r="BH19" t="str">
        <f t="shared" si="91"/>
        <v>3.1.1.GX</v>
      </c>
      <c r="BI19" t="str">
        <f>IF(AND(BE19&lt;&gt;"",LEFT(BE19,1)&lt;&gt;"#"),IF(LEFT(BE19,1)="-",REPLACE(BE19,1,1,tech!$H$2),BE19),"")</f>
        <v/>
      </c>
      <c r="BJ19" t="s">
        <v>495</v>
      </c>
      <c r="BK19" s="492" t="s">
        <v>498</v>
      </c>
      <c r="BL19" t="str">
        <f t="shared" si="92"/>
        <v>Maintain PKI interoperability strategy</v>
      </c>
      <c r="BM19" t="str">
        <f t="shared" si="93"/>
        <v>Guidance</v>
      </c>
      <c r="BN19" t="str">
        <f t="shared" si="94"/>
        <v>3.2.1.GX</v>
      </c>
      <c r="BO19" t="str">
        <f>IF(AND(BK19&lt;&gt;"",LEFT(BK19,1)&lt;&gt;"#"),IF(LEFT(BK19,1)="-",REPLACE(BK19,1,1,tech!$H$2),BK19),"")</f>
        <v/>
      </c>
      <c r="BP19" t="s">
        <v>495</v>
      </c>
      <c r="BQ19" s="492" t="s">
        <v>498</v>
      </c>
      <c r="BR19" t="str">
        <f t="shared" si="95"/>
        <v>Monitoring events and logging requirements are defined and documented</v>
      </c>
      <c r="BS19" t="str">
        <f t="shared" si="96"/>
        <v>Guidance</v>
      </c>
      <c r="BT19" t="str">
        <f t="shared" si="97"/>
        <v>3.3.1.GX</v>
      </c>
      <c r="BU19" t="str">
        <f>IF(AND(BQ19&lt;&gt;"",LEFT(BQ19,1)&lt;&gt;"#"),IF(LEFT(BQ19,1)="-",REPLACE(BQ19,1,1,tech!$H$2),BQ19),"")</f>
        <v/>
      </c>
      <c r="BV19" t="s">
        <v>495</v>
      </c>
      <c r="BW19" s="492" t="s">
        <v>498</v>
      </c>
      <c r="BX19" t="str">
        <f t="shared" si="98"/>
        <v>Process automation description</v>
      </c>
      <c r="BY19" t="str">
        <f t="shared" si="99"/>
        <v>Guidance</v>
      </c>
      <c r="BZ19" t="str">
        <f t="shared" si="100"/>
        <v>3.4.1.GX</v>
      </c>
      <c r="CA19" t="str">
        <f>IF(AND(BW19&lt;&gt;"",LEFT(BW19,1)&lt;&gt;"#"),IF(LEFT(BW19,1)="-",REPLACE(BW19,1,1,tech!$H$2),BW19),"")</f>
        <v/>
      </c>
      <c r="CB19" t="s">
        <v>495</v>
      </c>
      <c r="CC19" s="492" t="s">
        <v>498</v>
      </c>
      <c r="CD19" t="str">
        <f t="shared" si="101"/>
        <v>Resources are identified and documented</v>
      </c>
      <c r="CE19" t="str">
        <f t="shared" si="102"/>
        <v>Guidance</v>
      </c>
      <c r="CF19" t="str">
        <f t="shared" si="103"/>
        <v>4.1.1.GX</v>
      </c>
      <c r="CG19" t="str">
        <f>IF(AND(CC19&lt;&gt;"",LEFT(CC19,1)&lt;&gt;"#"),IF(LEFT(CC19,1)="-",REPLACE(CC19,1,1,tech!$H$2),CC19),"")</f>
        <v/>
      </c>
      <c r="CH19" t="s">
        <v>495</v>
      </c>
      <c r="CI19" s="492" t="s">
        <v>498</v>
      </c>
      <c r="CJ19" t="str">
        <f t="shared" si="104"/>
        <v>Establish training plan</v>
      </c>
      <c r="CK19" t="str">
        <f t="shared" si="105"/>
        <v>Guidance</v>
      </c>
      <c r="CL19" t="str">
        <f t="shared" si="106"/>
        <v>4.2.1.GX</v>
      </c>
      <c r="CM19" t="str">
        <f>IF(AND(CI19&lt;&gt;"",LEFT(CI19,1)&lt;&gt;"#"),IF(LEFT(CI19,1)="-",REPLACE(CI19,1,1,tech!$H$2),CI19),"")</f>
        <v/>
      </c>
      <c r="CN19" t="s">
        <v>495</v>
      </c>
      <c r="CO19" s="492" t="s">
        <v>498</v>
      </c>
      <c r="CP19" t="str">
        <f t="shared" si="107"/>
        <v>Establish and maintain awareness plan</v>
      </c>
      <c r="CQ19" t="str">
        <f t="shared" si="108"/>
        <v>Guidance</v>
      </c>
      <c r="CR19" t="str">
        <f t="shared" si="109"/>
        <v>4.3.1.GX</v>
      </c>
      <c r="CS19" t="str">
        <f>IF(AND(CO19&lt;&gt;"",LEFT(CO19,1)&lt;&gt;"#"),IF(LEFT(CO19,1)="-",REPLACE(CO19,1,1,tech!$H$2),CO19),"")</f>
        <v/>
      </c>
      <c r="CT19" t="s">
        <v>495</v>
      </c>
      <c r="CU19" s="492"/>
      <c r="CV19" t="str">
        <f>IF(CU19="","",VLOOKUP(_xlfn.TEXTBEFORE(_xlfn.TEXTAFTER(CU19,"["),"]"),tech!$E$117:$F$131,2,0))</f>
        <v/>
      </c>
      <c r="CW19" t="str">
        <f t="shared" si="30"/>
        <v/>
      </c>
      <c r="CX19" t="s">
        <v>495</v>
      </c>
      <c r="CY19" s="492"/>
      <c r="CZ19" t="str">
        <f t="shared" si="31"/>
        <v/>
      </c>
      <c r="DA19" t="str">
        <f t="shared" si="32"/>
        <v/>
      </c>
      <c r="DB19" t="s">
        <v>495</v>
      </c>
    </row>
    <row r="20" spans="3:106" x14ac:dyDescent="0.25">
      <c r="C20" s="492" t="s">
        <v>447</v>
      </c>
      <c r="D20" t="str">
        <f t="shared" si="64"/>
        <v>Initial</v>
      </c>
      <c r="E20" t="str">
        <f t="shared" si="110"/>
        <v>Indicators</v>
      </c>
      <c r="F20" t="str">
        <f>_xlfn.CONCAT(VLOOKUP(D20,tech!$A$13:$B$17,2,0),LEFT(E20,1),IF(G20="","X","Y"))</f>
        <v>1IY</v>
      </c>
      <c r="G20" t="str">
        <f>IF(IF(LEFT(C20,1)="-",C20,"")="","",REPLACE(IF(LEFT(C20,1)="-",C20,""),1,1,tech!$H$2))</f>
        <v>• There are minimum processes and procedures, which are typically not followed and</v>
      </c>
      <c r="H20" t="s">
        <v>495</v>
      </c>
      <c r="I20" s="492"/>
      <c r="J20" t="str">
        <f t="shared" si="65"/>
        <v>Organizational sponsor and support</v>
      </c>
      <c r="K20" t="str">
        <f t="shared" si="66"/>
        <v>Guidance</v>
      </c>
      <c r="L20" t="str">
        <f t="shared" si="67"/>
        <v>1.1.1.GX</v>
      </c>
      <c r="M20" t="str">
        <f>IF(AND(I20&lt;&gt;"",LEFT(I20,1)&lt;&gt;"#"),IF(LEFT(I20,1)="-",REPLACE(I20,1,1,tech!$H$2),I20),"")</f>
        <v/>
      </c>
      <c r="N20" t="s">
        <v>495</v>
      </c>
      <c r="O20" s="492"/>
      <c r="P20" t="str">
        <f t="shared" si="68"/>
        <v>The scope of policies is defined and documented</v>
      </c>
      <c r="Q20" t="str">
        <f t="shared" si="69"/>
        <v>Guidance</v>
      </c>
      <c r="R20" t="str">
        <f t="shared" si="70"/>
        <v>1.2.1.GX</v>
      </c>
      <c r="S20" t="str">
        <f>IF(AND(O20&lt;&gt;"",LEFT(O20,1)&lt;&gt;"#"),IF(LEFT(O20,1)="-",REPLACE(O20,1,1,tech!$H$2),O20),"")</f>
        <v/>
      </c>
      <c r="T20" t="s">
        <v>495</v>
      </c>
      <c r="U20" s="492"/>
      <c r="V20" t="str">
        <f t="shared" si="71"/>
        <v>Compliance policies are defined, implemented, and communicated</v>
      </c>
      <c r="W20" t="str">
        <f t="shared" si="72"/>
        <v>Guidance</v>
      </c>
      <c r="X20" t="str">
        <f t="shared" si="73"/>
        <v>1.3.1.GX</v>
      </c>
      <c r="Y20" t="str">
        <f>IF(AND(U20&lt;&gt;"",LEFT(U20,1)&lt;&gt;"#"),IF(LEFT(U20,1)="-",REPLACE(U20,1,1,tech!$H$2),U20),"")</f>
        <v/>
      </c>
      <c r="Z20" t="s">
        <v>495</v>
      </c>
      <c r="AA20" s="492"/>
      <c r="AB20" t="str">
        <f t="shared" si="74"/>
        <v>Scope of processes and procedure is aligned with policies</v>
      </c>
      <c r="AC20" t="str">
        <f t="shared" si="75"/>
        <v>Guidance</v>
      </c>
      <c r="AD20" t="str">
        <f t="shared" si="76"/>
        <v>1.4.1.GX</v>
      </c>
      <c r="AE20" t="str">
        <f>IF(AND(AA20&lt;&gt;"",LEFT(AA20,1)&lt;&gt;"#"),IF(LEFT(AA20,1)="-",REPLACE(AA20,1,1,tech!$H$2),AA20),"")</f>
        <v/>
      </c>
      <c r="AF20" t="s">
        <v>495</v>
      </c>
      <c r="AG20" s="492"/>
      <c r="AH20" t="str">
        <f t="shared" si="77"/>
        <v>Key management roles and responsibilities are documented and formally assigned</v>
      </c>
      <c r="AI20" t="str">
        <f t="shared" si="78"/>
        <v>Guidance</v>
      </c>
      <c r="AJ20" t="str">
        <f t="shared" si="79"/>
        <v>2.1.1.GX</v>
      </c>
      <c r="AK20" t="str">
        <f>IF(AND(AG20&lt;&gt;"",LEFT(AG20,1)&lt;&gt;"#"),IF(LEFT(AG20,1)="-",REPLACE(AG20,1,1,tech!$H$2),AG20),"")</f>
        <v/>
      </c>
      <c r="AL20" t="s">
        <v>495</v>
      </c>
      <c r="AM20" s="492"/>
      <c r="AN20" t="str">
        <f t="shared" si="80"/>
        <v>Certificate profiles are documented</v>
      </c>
      <c r="AO20" t="str">
        <f t="shared" si="81"/>
        <v>Guidance</v>
      </c>
      <c r="AP20" t="str">
        <f t="shared" si="82"/>
        <v>2.2.1.GX</v>
      </c>
      <c r="AQ20" t="str">
        <f>IF(AND(AM20&lt;&gt;"",LEFT(AM20,1)&lt;&gt;"#"),IF(LEFT(AM20,1)="-",REPLACE(AM20,1,1,tech!$H$2),AM20),"")</f>
        <v/>
      </c>
      <c r="AR20" t="s">
        <v>495</v>
      </c>
      <c r="AS20" s="492"/>
      <c r="AT20" t="str">
        <f t="shared" si="83"/>
        <v>Network and deployment infrastructure is documented</v>
      </c>
      <c r="AU20" t="str">
        <f t="shared" si="84"/>
        <v>Guidance</v>
      </c>
      <c r="AV20" t="str">
        <f t="shared" si="85"/>
        <v>2.3.1.GX</v>
      </c>
      <c r="AW20" t="str">
        <f>IF(AND(AS20&lt;&gt;"",LEFT(AS20,1)&lt;&gt;"#"),IF(LEFT(AS20,1)="-",REPLACE(AS20,1,1,tech!$H$2),AS20),"")</f>
        <v/>
      </c>
      <c r="AX20" t="s">
        <v>495</v>
      </c>
      <c r="AY20" s="492"/>
      <c r="AZ20" t="str">
        <f t="shared" si="86"/>
        <v>The policy for change management and agility is documented</v>
      </c>
      <c r="BA20" t="str">
        <f t="shared" si="87"/>
        <v>Guidance</v>
      </c>
      <c r="BB20" t="str">
        <f t="shared" si="88"/>
        <v>2.4.1.GX</v>
      </c>
      <c r="BC20" t="str">
        <f>IF(AND(AY20&lt;&gt;"",LEFT(AY20,1)&lt;&gt;"#"),IF(LEFT(AY20,1)="-",REPLACE(AY20,1,1,tech!$H$2),AY20),"")</f>
        <v/>
      </c>
      <c r="BD20" t="s">
        <v>495</v>
      </c>
      <c r="BE20" s="492"/>
      <c r="BF20" t="str">
        <f t="shared" si="89"/>
        <v>Risk assessment and business impact analysis</v>
      </c>
      <c r="BG20" t="str">
        <f t="shared" si="90"/>
        <v>Guidance</v>
      </c>
      <c r="BH20" t="str">
        <f t="shared" si="91"/>
        <v>3.1.1.GX</v>
      </c>
      <c r="BI20" t="str">
        <f>IF(AND(BE20&lt;&gt;"",LEFT(BE20,1)&lt;&gt;"#"),IF(LEFT(BE20,1)="-",REPLACE(BE20,1,1,tech!$H$2),BE20),"")</f>
        <v/>
      </c>
      <c r="BJ20" t="s">
        <v>495</v>
      </c>
      <c r="BK20" s="492"/>
      <c r="BL20" t="str">
        <f t="shared" si="92"/>
        <v>Maintain PKI interoperability strategy</v>
      </c>
      <c r="BM20" t="str">
        <f t="shared" si="93"/>
        <v>Guidance</v>
      </c>
      <c r="BN20" t="str">
        <f t="shared" si="94"/>
        <v>3.2.1.GX</v>
      </c>
      <c r="BO20" t="str">
        <f>IF(AND(BK20&lt;&gt;"",LEFT(BK20,1)&lt;&gt;"#"),IF(LEFT(BK20,1)="-",REPLACE(BK20,1,1,tech!$H$2),BK20),"")</f>
        <v/>
      </c>
      <c r="BP20" t="s">
        <v>495</v>
      </c>
      <c r="BQ20" s="492"/>
      <c r="BR20" t="str">
        <f t="shared" si="95"/>
        <v>Monitoring events and logging requirements are defined and documented</v>
      </c>
      <c r="BS20" t="str">
        <f t="shared" si="96"/>
        <v>Guidance</v>
      </c>
      <c r="BT20" t="str">
        <f t="shared" si="97"/>
        <v>3.3.1.GX</v>
      </c>
      <c r="BU20" t="str">
        <f>IF(AND(BQ20&lt;&gt;"",LEFT(BQ20,1)&lt;&gt;"#"),IF(LEFT(BQ20,1)="-",REPLACE(BQ20,1,1,tech!$H$2),BQ20),"")</f>
        <v/>
      </c>
      <c r="BV20" t="s">
        <v>495</v>
      </c>
      <c r="BW20" s="492"/>
      <c r="BX20" t="str">
        <f t="shared" si="98"/>
        <v>Process automation description</v>
      </c>
      <c r="BY20" t="str">
        <f t="shared" si="99"/>
        <v>Guidance</v>
      </c>
      <c r="BZ20" t="str">
        <f t="shared" si="100"/>
        <v>3.4.1.GX</v>
      </c>
      <c r="CA20" t="str">
        <f>IF(AND(BW20&lt;&gt;"",LEFT(BW20,1)&lt;&gt;"#"),IF(LEFT(BW20,1)="-",REPLACE(BW20,1,1,tech!$H$2),BW20),"")</f>
        <v/>
      </c>
      <c r="CB20" t="s">
        <v>495</v>
      </c>
      <c r="CC20" s="492"/>
      <c r="CD20" t="str">
        <f t="shared" si="101"/>
        <v>Resources are identified and documented</v>
      </c>
      <c r="CE20" t="str">
        <f t="shared" si="102"/>
        <v>Guidance</v>
      </c>
      <c r="CF20" t="str">
        <f t="shared" si="103"/>
        <v>4.1.1.GX</v>
      </c>
      <c r="CG20" t="str">
        <f>IF(AND(CC20&lt;&gt;"",LEFT(CC20,1)&lt;&gt;"#"),IF(LEFT(CC20,1)="-",REPLACE(CC20,1,1,tech!$H$2),CC20),"")</f>
        <v/>
      </c>
      <c r="CH20" t="s">
        <v>495</v>
      </c>
      <c r="CI20" s="492"/>
      <c r="CJ20" t="str">
        <f t="shared" si="104"/>
        <v>Establish training plan</v>
      </c>
      <c r="CK20" t="str">
        <f t="shared" si="105"/>
        <v>Guidance</v>
      </c>
      <c r="CL20" t="str">
        <f t="shared" si="106"/>
        <v>4.2.1.GX</v>
      </c>
      <c r="CM20" t="str">
        <f>IF(AND(CI20&lt;&gt;"",LEFT(CI20,1)&lt;&gt;"#"),IF(LEFT(CI20,1)="-",REPLACE(CI20,1,1,tech!$H$2),CI20),"")</f>
        <v/>
      </c>
      <c r="CN20" t="s">
        <v>495</v>
      </c>
      <c r="CO20" s="492"/>
      <c r="CP20" t="str">
        <f t="shared" si="107"/>
        <v>Establish and maintain awareness plan</v>
      </c>
      <c r="CQ20" t="str">
        <f t="shared" si="108"/>
        <v>Guidance</v>
      </c>
      <c r="CR20" t="str">
        <f t="shared" si="109"/>
        <v>4.3.1.GX</v>
      </c>
      <c r="CS20" t="str">
        <f>IF(AND(CO20&lt;&gt;"",LEFT(CO20,1)&lt;&gt;"#"),IF(LEFT(CO20,1)="-",REPLACE(CO20,1,1,tech!$H$2),CO20),"")</f>
        <v/>
      </c>
      <c r="CT20" t="s">
        <v>495</v>
      </c>
      <c r="CU20" s="492"/>
      <c r="CV20" t="str">
        <f>IF(CU20="","",VLOOKUP(_xlfn.TEXTBEFORE(_xlfn.TEXTAFTER(CU20,"["),"]"),tech!$E$117:$F$131,2,0))</f>
        <v/>
      </c>
      <c r="CW20" t="str">
        <f t="shared" si="30"/>
        <v/>
      </c>
      <c r="CX20" t="s">
        <v>495</v>
      </c>
      <c r="CY20" s="492"/>
      <c r="CZ20" t="str">
        <f t="shared" si="31"/>
        <v/>
      </c>
      <c r="DA20" t="str">
        <f t="shared" si="32"/>
        <v/>
      </c>
      <c r="DB20" t="s">
        <v>495</v>
      </c>
    </row>
    <row r="21" spans="3:106" x14ac:dyDescent="0.25">
      <c r="C21" s="492" t="s">
        <v>454</v>
      </c>
      <c r="D21" t="str">
        <f t="shared" si="64"/>
        <v>Initial</v>
      </c>
      <c r="E21" t="str">
        <f t="shared" si="110"/>
        <v>Indicators</v>
      </c>
      <c r="F21" t="str">
        <f>_xlfn.CONCAT(VLOOKUP(D21,tech!$A$13:$B$17,2,0),LEFT(E21,1),IF(G21="","X","Y"))</f>
        <v>1IY</v>
      </c>
      <c r="G21" t="str">
        <f>IF(IF(LEFT(C21,1)="-",C21,"")="","",REPLACE(IF(LEFT(C21,1)="-",C21,""),1,1,tech!$H$2))</f>
        <v>• There is no approach how to address certificate related issues</v>
      </c>
      <c r="H21" t="s">
        <v>495</v>
      </c>
      <c r="I21" s="492" t="s">
        <v>499</v>
      </c>
      <c r="J21" t="str">
        <f t="shared" si="65"/>
        <v>Organizational sponsor and support</v>
      </c>
      <c r="K21" t="str">
        <f t="shared" si="66"/>
        <v>Guidance</v>
      </c>
      <c r="L21" t="str">
        <f t="shared" si="67"/>
        <v>1.1.1.GY</v>
      </c>
      <c r="M21" t="str">
        <f>IF(AND(I21&lt;&gt;"",LEFT(I21,1)&lt;&gt;"#"),IF(LEFT(I21,1)="-",REPLACE(I21,1,1,tech!$H$2),I21),"")</f>
        <v>The success of the PKI implementation highly depends on the organization top management support. Top management typically also acts as a sponsor of the PKI, meaning that they allocate and approve budget needed to build and maintain the PKI.</v>
      </c>
      <c r="N21" t="s">
        <v>495</v>
      </c>
      <c r="O21" s="492" t="s">
        <v>548</v>
      </c>
      <c r="P21" t="str">
        <f t="shared" si="68"/>
        <v>The scope of policies is defined and documented</v>
      </c>
      <c r="Q21" t="str">
        <f t="shared" si="69"/>
        <v>Guidance</v>
      </c>
      <c r="R21" t="str">
        <f t="shared" si="70"/>
        <v>1.2.1.GY</v>
      </c>
      <c r="S21" t="str">
        <f>IF(AND(O21&lt;&gt;"",LEFT(O21,1)&lt;&gt;"#"),IF(LEFT(O21,1)="-",REPLACE(O21,1,1,tech!$H$2),O21),"")</f>
        <v>Each PKI implementation and use case is different, therefore it requires different care. The scope of policies that are applicable for the implementation should be defined and documented. When the proper description of the policies scope is provided, it helps all parties involved to understand the purpose of the policies and their applicability.</v>
      </c>
      <c r="T21" t="s">
        <v>495</v>
      </c>
      <c r="U21" s="492" t="s">
        <v>619</v>
      </c>
      <c r="V21" t="str">
        <f t="shared" si="71"/>
        <v>Compliance policies are defined, implemented, and communicated</v>
      </c>
      <c r="W21" t="str">
        <f t="shared" si="72"/>
        <v>Guidance</v>
      </c>
      <c r="X21" t="str">
        <f t="shared" si="73"/>
        <v>1.3.1.GY</v>
      </c>
      <c r="Y21" t="str">
        <f>IF(AND(U21&lt;&gt;"",LEFT(U21,1)&lt;&gt;"#"),IF(LEFT(U21,1)="-",REPLACE(U21,1,1,tech!$H$2),U21),"")</f>
        <v>Compliance policies are a critical component of an organization’s risk management strategy to help ensure that the PKI system is secure, reliable, trustworthy, and meets any applicable regulatory requirements.</v>
      </c>
      <c r="Z21" t="s">
        <v>495</v>
      </c>
      <c r="AA21" s="492" t="s">
        <v>660</v>
      </c>
      <c r="AB21" t="str">
        <f t="shared" si="74"/>
        <v>Scope of processes and procedure is aligned with policies</v>
      </c>
      <c r="AC21" t="str">
        <f t="shared" si="75"/>
        <v>Guidance</v>
      </c>
      <c r="AD21" t="str">
        <f t="shared" si="76"/>
        <v>1.4.1.GY</v>
      </c>
      <c r="AE21" t="str">
        <f>IF(AND(AA21&lt;&gt;"",LEFT(AA21,1)&lt;&gt;"#"),IF(LEFT(AA21,1)="-",REPLACE(AA21,1,1,tech!$H$2),AA21),"")</f>
        <v>The scope of the processes and procedures should be aligned with the policies and statements. Each implementation and use case can have different scope, but the scope should be defined and documented, with all applicable processes, procedures, and eventually instructions.</v>
      </c>
      <c r="AF21" t="s">
        <v>495</v>
      </c>
      <c r="AG21" s="492" t="s">
        <v>703</v>
      </c>
      <c r="AH21" t="str">
        <f t="shared" si="77"/>
        <v>Key management roles and responsibilities are documented and formally assigned</v>
      </c>
      <c r="AI21" t="str">
        <f t="shared" si="78"/>
        <v>Guidance</v>
      </c>
      <c r="AJ21" t="str">
        <f t="shared" si="79"/>
        <v>2.1.1.GY</v>
      </c>
      <c r="AK21" t="str">
        <f>IF(AND(AG21&lt;&gt;"",LEFT(AG21,1)&lt;&gt;"#"),IF(LEFT(AG21,1)="-",REPLACE(AG21,1,1,tech!$H$2),AG21),"")</f>
        <v>Proper definition of roles and responsibilities for key management operations establishes a good basis for accountability and auditing. The roles and responsibilities should follow key management policy, principles, and boundaries.</v>
      </c>
      <c r="AL21" t="s">
        <v>495</v>
      </c>
      <c r="AM21" s="492" t="s">
        <v>778</v>
      </c>
      <c r="AN21" t="str">
        <f t="shared" si="80"/>
        <v>Certificate profiles are documented</v>
      </c>
      <c r="AO21" t="str">
        <f t="shared" si="81"/>
        <v>Guidance</v>
      </c>
      <c r="AP21" t="str">
        <f t="shared" si="82"/>
        <v>2.2.1.GY</v>
      </c>
      <c r="AQ21" t="str">
        <f>IF(AND(AM21&lt;&gt;"",LEFT(AM21,1)&lt;&gt;"#"),IF(LEFT(AM21,1)="-",REPLACE(AM21,1,1,tech!$H$2),AM21),"")</f>
        <v>Certificate profiles specify the contents of certificates for one or more use cases. It defines things such as:</v>
      </c>
      <c r="AR21" t="s">
        <v>495</v>
      </c>
      <c r="AS21" s="492" t="s">
        <v>893</v>
      </c>
      <c r="AT21" t="str">
        <f t="shared" si="83"/>
        <v>Network and deployment infrastructure is documented</v>
      </c>
      <c r="AU21" t="str">
        <f t="shared" si="84"/>
        <v>Guidance</v>
      </c>
      <c r="AV21" t="str">
        <f t="shared" si="85"/>
        <v>2.3.1.GY</v>
      </c>
      <c r="AW21" t="str">
        <f>IF(AND(AS21&lt;&gt;"",LEFT(AS21,1)&lt;&gt;"#"),IF(LEFT(AS21,1)="-",REPLACE(AS21,1,1,tech!$H$2),AS21),"")</f>
        <v>The network and deployment documentation of the infrastructure should be aligned with the architecture and design of the PKI. In other terms, it provides details about how the implementation is done in the real environment.</v>
      </c>
      <c r="AX21" t="s">
        <v>495</v>
      </c>
      <c r="AY21" s="492" t="s">
        <v>961</v>
      </c>
      <c r="AZ21" t="str">
        <f t="shared" si="86"/>
        <v>The policy for change management and agility is documented</v>
      </c>
      <c r="BA21" t="str">
        <f t="shared" si="87"/>
        <v>Guidance</v>
      </c>
      <c r="BB21" t="str">
        <f t="shared" si="88"/>
        <v>2.4.1.GY</v>
      </c>
      <c r="BC21" t="str">
        <f>IF(AND(AY21&lt;&gt;"",LEFT(AY21,1)&lt;&gt;"#"),IF(LEFT(AY21,1)="-",REPLACE(AY21,1,1,tech!$H$2),AY21),"")</f>
        <v>The policy for change management and agility should be documented and approved by the management. The policy contains principles and boundaries for the implementation of the change management and agility requirements. Typically, it can be documented on the organizational level and applied to all systems and services, including the PKI implementation.</v>
      </c>
      <c r="BD21" t="s">
        <v>495</v>
      </c>
      <c r="BE21" s="492" t="s">
        <v>1019</v>
      </c>
      <c r="BF21" t="str">
        <f t="shared" si="89"/>
        <v>Risk assessment and business impact analysis</v>
      </c>
      <c r="BG21" t="str">
        <f t="shared" si="90"/>
        <v>Guidance</v>
      </c>
      <c r="BH21" t="str">
        <f t="shared" si="91"/>
        <v>3.1.1.GY</v>
      </c>
      <c r="BI21" t="str">
        <f>IF(AND(BE21&lt;&gt;"",LEFT(BE21,1)&lt;&gt;"#"),IF(LEFT(BE21,1)="-",REPLACE(BE21,1,1,tech!$H$2),BE21),"")</f>
        <v>Proper risk assessment provides robust understanding about the risks and their impact on the business and organization PKI. The risk assessment results (for example potential loss scenarios) are documented and serves as input for the business impact analysis to identify the critical PKI-related business processes and their dependencies.</v>
      </c>
      <c r="BJ21" t="s">
        <v>495</v>
      </c>
      <c r="BK21" s="492" t="s">
        <v>1093</v>
      </c>
      <c r="BL21" t="str">
        <f t="shared" si="92"/>
        <v>Maintain PKI interoperability strategy</v>
      </c>
      <c r="BM21" t="str">
        <f t="shared" si="93"/>
        <v>Guidance</v>
      </c>
      <c r="BN21" t="str">
        <f t="shared" si="94"/>
        <v>3.2.1.GY</v>
      </c>
      <c r="BO21" t="str">
        <f>IF(AND(BK21&lt;&gt;"",LEFT(BK21,1)&lt;&gt;"#"),IF(LEFT(BK21,1)="-",REPLACE(BK21,1,1,tech!$H$2),BK21),"")</f>
        <v>The interoperability strategy defines the interoperability requirements and the approach to achieve interoperability between the PKI components to ensure the PKI implementation is able to adopt new technologies and standards in the future, and will not be locked-in to a specific vendor.</v>
      </c>
      <c r="BP21" t="s">
        <v>495</v>
      </c>
      <c r="BQ21" s="492" t="s">
        <v>1143</v>
      </c>
      <c r="BR21" t="str">
        <f t="shared" si="95"/>
        <v>Monitoring events and logging requirements are defined and documented</v>
      </c>
      <c r="BS21" t="str">
        <f t="shared" si="96"/>
        <v>Guidance</v>
      </c>
      <c r="BT21" t="str">
        <f t="shared" si="97"/>
        <v>3.3.1.GY</v>
      </c>
      <c r="BU21" t="str">
        <f>IF(AND(BQ21&lt;&gt;"",LEFT(BQ21,1)&lt;&gt;"#"),IF(LEFT(BQ21,1)="-",REPLACE(BQ21,1,1,tech!$H$2),BQ21),"")</f>
        <v>The monitoring and logging requirements should be defined and documented in the CP, CPS, or other relevant documents. The requirements should be aligned with the overall PKI policies and statements, and should be based on the risk assessment and management activities.</v>
      </c>
      <c r="BV21" t="s">
        <v>495</v>
      </c>
      <c r="BW21" s="492" t="s">
        <v>1215</v>
      </c>
      <c r="BX21" t="str">
        <f t="shared" si="98"/>
        <v>Process automation description</v>
      </c>
      <c r="BY21" t="str">
        <f t="shared" si="99"/>
        <v>Guidance</v>
      </c>
      <c r="BZ21" t="str">
        <f t="shared" si="100"/>
        <v>3.4.1.GY</v>
      </c>
      <c r="CA21" t="str">
        <f>IF(AND(BW21&lt;&gt;"",LEFT(BW21,1)&lt;&gt;"#"),IF(LEFT(BW21,1)="-",REPLACE(BW21,1,1,tech!$H$2),BW21),"")</f>
        <v>Every automated certificate management process should be properly described and documented. The documentation should contain information relevant to the process automation and understanding the reasons for automation. Monitoring, auditing, and potential measures and controls would be ineffective without proper description and understanding of the automation process.</v>
      </c>
      <c r="CB21" t="s">
        <v>495</v>
      </c>
      <c r="CC21" s="492" t="s">
        <v>1256</v>
      </c>
      <c r="CD21" t="str">
        <f t="shared" si="101"/>
        <v>Resources are identified and documented</v>
      </c>
      <c r="CE21" t="str">
        <f t="shared" si="102"/>
        <v>Guidance</v>
      </c>
      <c r="CF21" t="str">
        <f t="shared" si="103"/>
        <v>4.1.1.GY</v>
      </c>
      <c r="CG21" t="str">
        <f>IF(AND(CC21&lt;&gt;"",LEFT(CC21,1)&lt;&gt;"#"),IF(LEFT(CC21,1)="-",REPLACE(CC21,1,1,tech!$H$2),CC21),"")</f>
        <v xml:space="preserve">Resources needed for proper management of the PKI are identified and documented. Resources should be aligned with the PKI scope and use-case(s) that should be supported. The main question to answer here is "Do we know what resources we need to manage the PKI?". </v>
      </c>
      <c r="CH21" t="s">
        <v>495</v>
      </c>
      <c r="CI21" s="492" t="s">
        <v>1291</v>
      </c>
      <c r="CJ21" t="str">
        <f t="shared" si="104"/>
        <v>Establish training plan</v>
      </c>
      <c r="CK21" t="str">
        <f t="shared" si="105"/>
        <v>Guidance</v>
      </c>
      <c r="CL21" t="str">
        <f t="shared" si="106"/>
        <v>4.2.1.GY</v>
      </c>
      <c r="CM21" t="str">
        <f>IF(AND(CI21&lt;&gt;"",LEFT(CI21,1)&lt;&gt;"#"),IF(LEFT(CI21,1)="-",REPLACE(CI21,1,1,tech!$H$2),CI21),"")</f>
        <v>The training plan should be established and maintained to ensure that personnel have the required knowledge and skills to perform their duties and responsibilities. It should reflect the current state of the PKI implementation and be updated when the PKI implementation changes, and provide necessary information for all personnel that are involved in the PKI implementation.</v>
      </c>
      <c r="CN21" t="s">
        <v>495</v>
      </c>
      <c r="CO21" s="492" t="s">
        <v>1367</v>
      </c>
      <c r="CP21" t="str">
        <f t="shared" si="107"/>
        <v>Establish and maintain awareness plan</v>
      </c>
      <c r="CQ21" t="str">
        <f t="shared" si="108"/>
        <v>Guidance</v>
      </c>
      <c r="CR21" t="str">
        <f t="shared" si="109"/>
        <v>4.3.1.GY</v>
      </c>
      <c r="CS21" t="str">
        <f>IF(AND(CO21&lt;&gt;"",LEFT(CO21,1)&lt;&gt;"#"),IF(LEFT(CO21,1)="-",REPLACE(CO21,1,1,tech!$H$2),CO21),"")</f>
        <v>Awareness plan should be established and maintained to ensure that the PKI participants are aware of all relevant events related to the PKI implementation and its purpose in the organization and outside. It should cover at lease the following information:</v>
      </c>
      <c r="CT21" t="s">
        <v>495</v>
      </c>
      <c r="CU21" s="492"/>
      <c r="CV21" t="str">
        <f>IF(CU21="","",VLOOKUP(_xlfn.TEXTBEFORE(_xlfn.TEXTAFTER(CU21,"["),"]"),tech!$E$117:$F$131,2,0))</f>
        <v/>
      </c>
      <c r="CW21" t="str">
        <f t="shared" si="30"/>
        <v/>
      </c>
      <c r="CX21" t="s">
        <v>495</v>
      </c>
      <c r="CY21" s="492"/>
      <c r="CZ21" t="str">
        <f t="shared" si="31"/>
        <v/>
      </c>
      <c r="DA21" t="str">
        <f t="shared" si="32"/>
        <v/>
      </c>
      <c r="DB21" t="s">
        <v>495</v>
      </c>
    </row>
    <row r="22" spans="3:106" x14ac:dyDescent="0.25">
      <c r="C22" s="492" t="s">
        <v>455</v>
      </c>
      <c r="D22" t="str">
        <f t="shared" si="64"/>
        <v>Initial</v>
      </c>
      <c r="E22" t="str">
        <f t="shared" si="110"/>
        <v>Indicators</v>
      </c>
      <c r="F22" t="str">
        <f>_xlfn.CONCAT(VLOOKUP(D22,tech!$A$13:$B$17,2,0),LEFT(E22,1),IF(G22="","X","Y"))</f>
        <v>1IY</v>
      </c>
      <c r="G22" t="str">
        <f>IF(IF(LEFT(C22,1)="-",C22,"")="","",REPLACE(IF(LEFT(C22,1)="-",C22,""),1,1,tech!$H$2))</f>
        <v>• PKI does not take into account any industry standards or regulations</v>
      </c>
      <c r="H22" t="s">
        <v>495</v>
      </c>
      <c r="I22" s="492"/>
      <c r="J22" t="str">
        <f t="shared" si="65"/>
        <v>Organizational sponsor and support</v>
      </c>
      <c r="K22" t="str">
        <f t="shared" si="66"/>
        <v>Guidance</v>
      </c>
      <c r="L22" t="str">
        <f t="shared" si="67"/>
        <v>1.1.1.GY</v>
      </c>
      <c r="M22" t="str">
        <f>IF(AND(I22&lt;&gt;"",LEFT(I22,1)&lt;&gt;"#"),IF(LEFT(I22,1)="-",REPLACE(I22,1,1,tech!$H$2),I22),"")</f>
        <v/>
      </c>
      <c r="N22" t="s">
        <v>495</v>
      </c>
      <c r="O22" s="492"/>
      <c r="P22" t="str">
        <f t="shared" si="68"/>
        <v>The scope of policies is defined and documented</v>
      </c>
      <c r="Q22" t="str">
        <f t="shared" si="69"/>
        <v>Guidance</v>
      </c>
      <c r="R22" t="str">
        <f t="shared" si="70"/>
        <v>1.2.1.GY</v>
      </c>
      <c r="S22" t="str">
        <f>IF(AND(O22&lt;&gt;"",LEFT(O22,1)&lt;&gt;"#"),IF(LEFT(O22,1)="-",REPLACE(O22,1,1,tech!$H$2),O22),"")</f>
        <v/>
      </c>
      <c r="T22" t="s">
        <v>495</v>
      </c>
      <c r="U22" s="492"/>
      <c r="V22" t="str">
        <f t="shared" si="71"/>
        <v>Compliance policies are defined, implemented, and communicated</v>
      </c>
      <c r="W22" t="str">
        <f t="shared" si="72"/>
        <v>Guidance</v>
      </c>
      <c r="X22" t="str">
        <f t="shared" si="73"/>
        <v>1.3.1.GY</v>
      </c>
      <c r="Y22" t="str">
        <f>IF(AND(U22&lt;&gt;"",LEFT(U22,1)&lt;&gt;"#"),IF(LEFT(U22,1)="-",REPLACE(U22,1,1,tech!$H$2),U22),"")</f>
        <v/>
      </c>
      <c r="Z22" t="s">
        <v>495</v>
      </c>
      <c r="AA22" s="492"/>
      <c r="AB22" t="str">
        <f t="shared" si="74"/>
        <v>Scope of processes and procedure is aligned with policies</v>
      </c>
      <c r="AC22" t="str">
        <f t="shared" si="75"/>
        <v>Guidance</v>
      </c>
      <c r="AD22" t="str">
        <f t="shared" si="76"/>
        <v>1.4.1.GY</v>
      </c>
      <c r="AE22" t="str">
        <f>IF(AND(AA22&lt;&gt;"",LEFT(AA22,1)&lt;&gt;"#"),IF(LEFT(AA22,1)="-",REPLACE(AA22,1,1,tech!$H$2),AA22),"")</f>
        <v/>
      </c>
      <c r="AF22" t="s">
        <v>495</v>
      </c>
      <c r="AG22" s="492"/>
      <c r="AH22" t="str">
        <f t="shared" si="77"/>
        <v>Key management roles and responsibilities are documented and formally assigned</v>
      </c>
      <c r="AI22" t="str">
        <f t="shared" si="78"/>
        <v>Guidance</v>
      </c>
      <c r="AJ22" t="str">
        <f t="shared" si="79"/>
        <v>2.1.1.GY</v>
      </c>
      <c r="AK22" t="str">
        <f>IF(AND(AG22&lt;&gt;"",LEFT(AG22,1)&lt;&gt;"#"),IF(LEFT(AG22,1)="-",REPLACE(AG22,1,1,tech!$H$2),AG22),"")</f>
        <v/>
      </c>
      <c r="AL22" t="s">
        <v>495</v>
      </c>
      <c r="AM22" s="492" t="s">
        <v>779</v>
      </c>
      <c r="AN22" t="str">
        <f t="shared" si="80"/>
        <v>Certificate profiles are documented</v>
      </c>
      <c r="AO22" t="str">
        <f t="shared" si="81"/>
        <v>Guidance</v>
      </c>
      <c r="AP22" t="str">
        <f t="shared" si="82"/>
        <v>2.2.1.GY</v>
      </c>
      <c r="AQ22" t="str">
        <f>IF(AND(AM22&lt;&gt;"",LEFT(AM22,1)&lt;&gt;"#"),IF(LEFT(AM22,1)="-",REPLACE(AM22,1,1,tech!$H$2),AM22),"")</f>
        <v>* Certificate use case(s) for certificates covered by specific profiles</v>
      </c>
      <c r="AR22" t="s">
        <v>495</v>
      </c>
      <c r="AS22" s="492"/>
      <c r="AT22" t="str">
        <f t="shared" si="83"/>
        <v>Network and deployment infrastructure is documented</v>
      </c>
      <c r="AU22" t="str">
        <f t="shared" si="84"/>
        <v>Guidance</v>
      </c>
      <c r="AV22" t="str">
        <f t="shared" si="85"/>
        <v>2.3.1.GY</v>
      </c>
      <c r="AW22" t="str">
        <f>IF(AND(AS22&lt;&gt;"",LEFT(AS22,1)&lt;&gt;"#"),IF(LEFT(AS22,1)="-",REPLACE(AS22,1,1,tech!$H$2),AS22),"")</f>
        <v/>
      </c>
      <c r="AX22" t="s">
        <v>495</v>
      </c>
      <c r="AY22" s="492"/>
      <c r="AZ22" t="str">
        <f t="shared" si="86"/>
        <v>The policy for change management and agility is documented</v>
      </c>
      <c r="BA22" t="str">
        <f t="shared" si="87"/>
        <v>Guidance</v>
      </c>
      <c r="BB22" t="str">
        <f t="shared" si="88"/>
        <v>2.4.1.GY</v>
      </c>
      <c r="BC22" t="str">
        <f>IF(AND(AY22&lt;&gt;"",LEFT(AY22,1)&lt;&gt;"#"),IF(LEFT(AY22,1)="-",REPLACE(AY22,1,1,tech!$H$2),AY22),"")</f>
        <v/>
      </c>
      <c r="BD22" t="s">
        <v>495</v>
      </c>
      <c r="BE22" s="492"/>
      <c r="BF22" t="str">
        <f t="shared" si="89"/>
        <v>Risk assessment and business impact analysis</v>
      </c>
      <c r="BG22" t="str">
        <f t="shared" si="90"/>
        <v>Guidance</v>
      </c>
      <c r="BH22" t="str">
        <f t="shared" si="91"/>
        <v>3.1.1.GY</v>
      </c>
      <c r="BI22" t="str">
        <f>IF(AND(BE22&lt;&gt;"",LEFT(BE22,1)&lt;&gt;"#"),IF(LEFT(BE22,1)="-",REPLACE(BE22,1,1,tech!$H$2),BE22),"")</f>
        <v/>
      </c>
      <c r="BJ22" t="s">
        <v>495</v>
      </c>
      <c r="BK22" s="492"/>
      <c r="BL22" t="str">
        <f t="shared" si="92"/>
        <v>Maintain PKI interoperability strategy</v>
      </c>
      <c r="BM22" t="str">
        <f t="shared" si="93"/>
        <v>Guidance</v>
      </c>
      <c r="BN22" t="str">
        <f t="shared" si="94"/>
        <v>3.2.1.GY</v>
      </c>
      <c r="BO22" t="str">
        <f>IF(AND(BK22&lt;&gt;"",LEFT(BK22,1)&lt;&gt;"#"),IF(LEFT(BK22,1)="-",REPLACE(BK22,1,1,tech!$H$2),BK22),"")</f>
        <v/>
      </c>
      <c r="BP22" t="s">
        <v>495</v>
      </c>
      <c r="BQ22" s="492"/>
      <c r="BR22" t="str">
        <f t="shared" si="95"/>
        <v>Monitoring events and logging requirements are defined and documented</v>
      </c>
      <c r="BS22" t="str">
        <f t="shared" si="96"/>
        <v>Guidance</v>
      </c>
      <c r="BT22" t="str">
        <f t="shared" si="97"/>
        <v>3.3.1.GY</v>
      </c>
      <c r="BU22" t="str">
        <f>IF(AND(BQ22&lt;&gt;"",LEFT(BQ22,1)&lt;&gt;"#"),IF(LEFT(BQ22,1)="-",REPLACE(BQ22,1,1,tech!$H$2),BQ22),"")</f>
        <v/>
      </c>
      <c r="BV22" t="s">
        <v>495</v>
      </c>
      <c r="BW22" s="492"/>
      <c r="BX22" t="str">
        <f t="shared" si="98"/>
        <v>Process automation description</v>
      </c>
      <c r="BY22" t="str">
        <f t="shared" si="99"/>
        <v>Guidance</v>
      </c>
      <c r="BZ22" t="str">
        <f t="shared" si="100"/>
        <v>3.4.1.GY</v>
      </c>
      <c r="CA22" t="str">
        <f>IF(AND(BW22&lt;&gt;"",LEFT(BW22,1)&lt;&gt;"#"),IF(LEFT(BW22,1)="-",REPLACE(BW22,1,1,tech!$H$2),BW22),"")</f>
        <v/>
      </c>
      <c r="CB22" t="s">
        <v>495</v>
      </c>
      <c r="CC22" s="492"/>
      <c r="CD22" t="str">
        <f t="shared" si="101"/>
        <v>Resources are identified and documented</v>
      </c>
      <c r="CE22" t="str">
        <f t="shared" si="102"/>
        <v>Guidance</v>
      </c>
      <c r="CF22" t="str">
        <f t="shared" si="103"/>
        <v>4.1.1.GX</v>
      </c>
      <c r="CG22" t="str">
        <f>IF(AND(CC22&lt;&gt;"",LEFT(CC22,1)&lt;&gt;"#"),IF(LEFT(CC22,1)="-",REPLACE(CC22,1,1,tech!$H$2),CC22),"")</f>
        <v/>
      </c>
      <c r="CH22" t="s">
        <v>495</v>
      </c>
      <c r="CI22" s="492"/>
      <c r="CJ22" t="str">
        <f t="shared" si="104"/>
        <v>Establish training plan</v>
      </c>
      <c r="CK22" t="str">
        <f t="shared" si="105"/>
        <v>Guidance</v>
      </c>
      <c r="CL22" t="str">
        <f t="shared" si="106"/>
        <v>4.2.1.GY</v>
      </c>
      <c r="CM22" t="str">
        <f>IF(AND(CI22&lt;&gt;"",LEFT(CI22,1)&lt;&gt;"#"),IF(LEFT(CI22,1)="-",REPLACE(CI22,1,1,tech!$H$2),CI22),"")</f>
        <v/>
      </c>
      <c r="CN22" t="s">
        <v>495</v>
      </c>
      <c r="CO22" s="492" t="s">
        <v>1474</v>
      </c>
      <c r="CP22" t="str">
        <f t="shared" si="107"/>
        <v>Establish and maintain awareness plan</v>
      </c>
      <c r="CQ22" t="str">
        <f t="shared" si="108"/>
        <v>Guidance</v>
      </c>
      <c r="CR22" t="str">
        <f t="shared" si="109"/>
        <v>4.3.1.GY</v>
      </c>
      <c r="CS22" t="str">
        <f>IF(AND(CO22&lt;&gt;"",LEFT(CO22,1)&lt;&gt;"#"),IF(LEFT(CO22,1)="-",REPLACE(CO22,1,1,tech!$H$2),CO22),"")</f>
        <v>• How the organization discloses information to PKI participants</v>
      </c>
      <c r="CT22" t="s">
        <v>495</v>
      </c>
      <c r="CU22" s="492"/>
      <c r="CV22" t="str">
        <f>IF(CU22="","",VLOOKUP(_xlfn.TEXTBEFORE(_xlfn.TEXTAFTER(CU22,"["),"]"),tech!$E$117:$F$131,2,0))</f>
        <v/>
      </c>
      <c r="CW22" t="str">
        <f t="shared" si="30"/>
        <v/>
      </c>
      <c r="CX22" t="s">
        <v>495</v>
      </c>
      <c r="CY22" s="492"/>
      <c r="CZ22" t="str">
        <f t="shared" si="31"/>
        <v/>
      </c>
      <c r="DA22" t="str">
        <f t="shared" si="32"/>
        <v/>
      </c>
      <c r="DB22" t="s">
        <v>495</v>
      </c>
    </row>
    <row r="23" spans="3:106" ht="15.75" thickBot="1" x14ac:dyDescent="0.3">
      <c r="C23" s="492" t="s">
        <v>456</v>
      </c>
      <c r="D23" t="str">
        <f t="shared" si="64"/>
        <v>Initial</v>
      </c>
      <c r="E23" t="str">
        <f t="shared" si="110"/>
        <v>Indicators</v>
      </c>
      <c r="F23" t="str">
        <f>_xlfn.CONCAT(VLOOKUP(D23,tech!$A$13:$B$17,2,0),LEFT(E23,1),IF(G23="","X","Y"))</f>
        <v>1IY</v>
      </c>
      <c r="G23" t="str">
        <f>IF(IF(LEFT(C23,1)="-",C23,"")="","",REPLACE(IF(LEFT(C23,1)="-",C23,""),1,1,tech!$H$2))</f>
        <v>• Insufficient resources and knowledge</v>
      </c>
      <c r="H23" t="s">
        <v>495</v>
      </c>
      <c r="I23" s="492" t="s">
        <v>500</v>
      </c>
      <c r="J23" t="str">
        <f t="shared" si="65"/>
        <v>Organizational sponsor and support</v>
      </c>
      <c r="K23" t="str">
        <f t="shared" si="66"/>
        <v>Guidance</v>
      </c>
      <c r="L23" t="str">
        <f t="shared" si="67"/>
        <v>1.1.1.GY</v>
      </c>
      <c r="M23" t="str">
        <f>IF(AND(I23&lt;&gt;"",LEFT(I23,1)&lt;&gt;"#"),IF(LEFT(I23,1)="-",REPLACE(I23,1,1,tech!$H$2),I23),"")</f>
        <v>The basic assumption is that the established digital trust is going to be maintained and developed for years, and therefore it is important to have a long-term vision and strategy for the PKI. The strategy and vision should be aligned with the overall organizational goals and approach.</v>
      </c>
      <c r="N23" t="s">
        <v>495</v>
      </c>
      <c r="O23" s="492" t="s">
        <v>549</v>
      </c>
      <c r="P23" t="str">
        <f t="shared" si="68"/>
        <v>The scope of policies is defined and documented</v>
      </c>
      <c r="Q23" t="str">
        <f t="shared" si="69"/>
        <v>Guidance</v>
      </c>
      <c r="R23" t="str">
        <f t="shared" si="70"/>
        <v>1.2.1.GY</v>
      </c>
      <c r="S23" t="str">
        <f>IF(AND(O23&lt;&gt;"",LEFT(O23,1)&lt;&gt;"#"),IF(LEFT(O23,1)="-",REPLACE(O23,1,1,tech!$H$2),O23),"")</f>
        <v>The scope can include the following:</v>
      </c>
      <c r="T23" t="s">
        <v>495</v>
      </c>
      <c r="U23" s="492" t="s">
        <v>620</v>
      </c>
      <c r="V23" t="str">
        <f t="shared" si="71"/>
        <v>Compliance policies are defined, implemented, and communicated</v>
      </c>
      <c r="W23" t="str">
        <f t="shared" si="72"/>
        <v>Guidance</v>
      </c>
      <c r="X23" t="str">
        <f t="shared" si="73"/>
        <v>1.3.1.GY</v>
      </c>
      <c r="Y23" t="str">
        <f>IF(AND(U23&lt;&gt;"",LEFT(U23,1)&lt;&gt;"#"),IF(LEFT(U23,1)="-",REPLACE(U23,1,1,tech!$H$2),U23),"")</f>
        <v>By defining appropriate policies and related procedures and communicating these to all stakeholders who rely on the PKI, the organization can ensure that administrators, operators, and users are properly authenticated and authorized to access the system and that appropriate controls are in place to prevent unauthorized access or misuse of the PKI.</v>
      </c>
      <c r="Z23" t="s">
        <v>495</v>
      </c>
      <c r="AA23" s="492" t="s">
        <v>661</v>
      </c>
      <c r="AB23" t="str">
        <f t="shared" si="74"/>
        <v>Scope of processes and procedure is aligned with policies</v>
      </c>
      <c r="AC23" t="str">
        <f t="shared" si="75"/>
        <v>Guidance</v>
      </c>
      <c r="AD23" t="str">
        <f t="shared" si="76"/>
        <v>1.4.1.GY</v>
      </c>
      <c r="AE23" t="str">
        <f>IF(AND(AA23&lt;&gt;"",LEFT(AA23,1)&lt;&gt;"#"),IF(LEFT(AA23,1)="-",REPLACE(AA23,1,1,tech!$H$2),AA23),"")</f>
        <v>The alignment with the policies helps to ensure that the processes and procedures are aligned with the PKI implementation goals and needs, and can be effectively trusted over the time. A simple matrix can be used to ensure that all applicable policies and statements are covered by the processes and procedures.</v>
      </c>
      <c r="AF23" t="s">
        <v>495</v>
      </c>
      <c r="AG23" s="492" t="s">
        <v>704</v>
      </c>
      <c r="AH23" t="str">
        <f t="shared" si="77"/>
        <v>Key management roles and responsibilities are documented and formally assigned</v>
      </c>
      <c r="AI23" t="str">
        <f t="shared" si="78"/>
        <v>Guidance</v>
      </c>
      <c r="AJ23" t="str">
        <f t="shared" si="79"/>
        <v>2.1.1.GY</v>
      </c>
      <c r="AK23" t="str">
        <f>IF(AND(AG23&lt;&gt;"",LEFT(AG23,1)&lt;&gt;"#"),IF(LEFT(AG23,1)="-",REPLACE(AG23,1,1,tech!$H$2),AG23),"")</f>
        <v>Personnel should be formally assigned to the role based on appropriate skills, and background check to ensure that there are no external risks associated that can cause potential compromise of key management.</v>
      </c>
      <c r="AL23" t="s">
        <v>495</v>
      </c>
      <c r="AM23" s="492" t="s">
        <v>780</v>
      </c>
      <c r="AN23" t="str">
        <f t="shared" si="80"/>
        <v>Certificate profiles are documented</v>
      </c>
      <c r="AO23" t="str">
        <f t="shared" si="81"/>
        <v>Guidance</v>
      </c>
      <c r="AP23" t="str">
        <f t="shared" si="82"/>
        <v>2.2.1.GY</v>
      </c>
      <c r="AQ23" t="str">
        <f>IF(AND(AM23&lt;&gt;"",LEFT(AM23,1)&lt;&gt;"#"),IF(LEFT(AM23,1)="-",REPLACE(AM23,1,1,tech!$H$2),AM23),"")</f>
        <v>* Naming standards for subject distinguished name and subject alternative names, which are allowed and mandatory fields.</v>
      </c>
      <c r="AR23" t="s">
        <v>495</v>
      </c>
      <c r="AS23" s="492" t="s">
        <v>894</v>
      </c>
      <c r="AT23" t="str">
        <f t="shared" si="83"/>
        <v>Network and deployment infrastructure is documented</v>
      </c>
      <c r="AU23" t="str">
        <f t="shared" si="84"/>
        <v>Guidance</v>
      </c>
      <c r="AV23" t="str">
        <f t="shared" si="85"/>
        <v>2.3.1.GY</v>
      </c>
      <c r="AW23" t="str">
        <f>IF(AND(AS23&lt;&gt;"",LEFT(AS23,1)&lt;&gt;"#"),IF(LEFT(AS23,1)="-",REPLACE(AS23,1,1,tech!$H$2),AS23),"")</f>
        <v>The network and deployment infrastructure should be properly documented and maintained. The documentation should include the following:</v>
      </c>
      <c r="AX23" t="s">
        <v>495</v>
      </c>
      <c r="AY23" s="492" t="s">
        <v>962</v>
      </c>
      <c r="AZ23" t="str">
        <f t="shared" si="86"/>
        <v>The policy for change management and agility is documented</v>
      </c>
      <c r="BA23" t="str">
        <f t="shared" si="87"/>
        <v>Guidance</v>
      </c>
      <c r="BB23" t="str">
        <f t="shared" si="88"/>
        <v>2.4.1.GY</v>
      </c>
      <c r="BC23" t="str">
        <f>IF(AND(AY23&lt;&gt;"",LEFT(AY23,1)&lt;&gt;"#"),IF(LEFT(AY23,1)="-",REPLACE(AY23,1,1,tech!$H$2),AY23),"")</f>
        <v>The PKI may have specific requirements for change management and agility, and therefore it may be recommended to have a separate policy for the PKI implementation. The policy should be aligned with organizational policy and should be approved by the responsible personnel for the PKI.</v>
      </c>
      <c r="BD23" t="s">
        <v>495</v>
      </c>
      <c r="BE23" s="492" t="s">
        <v>1020</v>
      </c>
      <c r="BF23" t="str">
        <f t="shared" si="89"/>
        <v>Risk assessment and business impact analysis</v>
      </c>
      <c r="BG23" t="str">
        <f t="shared" si="90"/>
        <v>Guidance</v>
      </c>
      <c r="BH23" t="str">
        <f t="shared" si="91"/>
        <v>3.1.1.GY</v>
      </c>
      <c r="BI23" t="str">
        <f>IF(AND(BE23&lt;&gt;"",LEFT(BE23,1)&lt;&gt;"#"),IF(LEFT(BE23,1)="-",REPLACE(BE23,1,1,tech!$H$2),BE23),"")</f>
        <v>Documented results of the business impact analysis are used to develop recovery strategies for the PKI implementation with required resources and availability.</v>
      </c>
      <c r="BJ23" t="s">
        <v>495</v>
      </c>
      <c r="BK23" s="492" t="s">
        <v>1094</v>
      </c>
      <c r="BL23" t="str">
        <f t="shared" si="92"/>
        <v>Maintain PKI interoperability strategy</v>
      </c>
      <c r="BM23" t="str">
        <f t="shared" si="93"/>
        <v>Guidance</v>
      </c>
      <c r="BN23" t="str">
        <f t="shared" si="94"/>
        <v>3.2.1.GY</v>
      </c>
      <c r="BO23" t="str">
        <f>IF(AND(BK23&lt;&gt;"",LEFT(BK23,1)&lt;&gt;"#"),IF(LEFT(BK23,1)="-",REPLACE(BK23,1,1,tech!$H$2),BK23),"")</f>
        <v>PKI interoperability strategy should be maintained, documented, and integrated in the organization. It should cover at least the following information:</v>
      </c>
      <c r="BP23" t="s">
        <v>495</v>
      </c>
      <c r="BQ23" s="492" t="s">
        <v>1144</v>
      </c>
      <c r="BR23" t="str">
        <f t="shared" si="95"/>
        <v>Monitoring events and logging requirements are defined and documented</v>
      </c>
      <c r="BS23" t="str">
        <f t="shared" si="96"/>
        <v>Guidance</v>
      </c>
      <c r="BT23" t="str">
        <f t="shared" si="97"/>
        <v>3.3.1.GY</v>
      </c>
      <c r="BU23" t="str">
        <f>IF(AND(BQ23&lt;&gt;"",LEFT(BQ23,1)&lt;&gt;"#"),IF(LEFT(BQ23,1)="-",REPLACE(BQ23,1,1,tech!$H$2),BQ23),"")</f>
        <v>The requirements can typically include:</v>
      </c>
      <c r="BV23" t="s">
        <v>495</v>
      </c>
      <c r="BW23" s="492" t="s">
        <v>1216</v>
      </c>
      <c r="BX23" t="str">
        <f t="shared" si="98"/>
        <v>Process automation description</v>
      </c>
      <c r="BY23" t="str">
        <f t="shared" si="99"/>
        <v>Guidance</v>
      </c>
      <c r="BZ23" t="str">
        <f t="shared" si="100"/>
        <v>3.4.1.GY</v>
      </c>
      <c r="CA23" t="str">
        <f>IF(AND(BW23&lt;&gt;"",LEFT(BW23,1)&lt;&gt;"#"),IF(LEFT(BW23,1)="-",REPLACE(BW23,1,1,tech!$H$2),BW23),"")</f>
        <v>The description can include for example the following:</v>
      </c>
      <c r="CB23" t="s">
        <v>495</v>
      </c>
      <c r="CC23" s="492" t="s">
        <v>501</v>
      </c>
      <c r="CD23" t="str">
        <f t="shared" si="101"/>
        <v>Resources are identified and documented</v>
      </c>
      <c r="CE23" t="str">
        <f t="shared" si="102"/>
        <v>Assessment</v>
      </c>
      <c r="CF23" t="str">
        <f t="shared" si="103"/>
        <v>4.1.1.AX</v>
      </c>
      <c r="CG23" t="str">
        <f>IF(AND(CC23&lt;&gt;"",LEFT(CC23,1)&lt;&gt;"#"),IF(LEFT(CC23,1)="-",REPLACE(CC23,1,1,tech!$H$2),CC23),"")</f>
        <v/>
      </c>
      <c r="CH23" t="s">
        <v>495</v>
      </c>
      <c r="CI23" s="492" t="s">
        <v>1292</v>
      </c>
      <c r="CJ23" t="str">
        <f t="shared" si="104"/>
        <v>Establish training plan</v>
      </c>
      <c r="CK23" t="str">
        <f t="shared" si="105"/>
        <v>Guidance</v>
      </c>
      <c r="CL23" t="str">
        <f t="shared" si="106"/>
        <v>4.2.1.GY</v>
      </c>
      <c r="CM23" t="str">
        <f>IF(AND(CI23&lt;&gt;"",LEFT(CI23,1)&lt;&gt;"#"),IF(LEFT(CI23,1)="-",REPLACE(CI23,1,1,tech!$H$2),CI23),"")</f>
        <v>Training plan is built with PKI needs and requirements in mind and should cover:</v>
      </c>
      <c r="CN23" t="s">
        <v>495</v>
      </c>
      <c r="CO23" s="492" t="s">
        <v>1475</v>
      </c>
      <c r="CP23" t="str">
        <f t="shared" si="107"/>
        <v>Establish and maintain awareness plan</v>
      </c>
      <c r="CQ23" t="str">
        <f t="shared" si="108"/>
        <v>Guidance</v>
      </c>
      <c r="CR23" t="str">
        <f t="shared" si="109"/>
        <v>4.3.1.GY</v>
      </c>
      <c r="CS23" t="str">
        <f>IF(AND(CO23&lt;&gt;"",LEFT(CO23,1)&lt;&gt;"#"),IF(LEFT(CO23,1)="-",REPLACE(CO23,1,1,tech!$H$2),CO23),"")</f>
        <v>• Contact information</v>
      </c>
      <c r="CT23" t="s">
        <v>495</v>
      </c>
      <c r="CU23" s="213"/>
      <c r="CV23" t="str">
        <f>IF(CU23="","",VLOOKUP(_xlfn.TEXTBEFORE(_xlfn.TEXTAFTER(CU23,"["),"]"),tech!$E$117:$F$131,2,0))</f>
        <v/>
      </c>
      <c r="CW23" t="str">
        <f t="shared" si="30"/>
        <v/>
      </c>
      <c r="CX23" t="s">
        <v>495</v>
      </c>
      <c r="CY23" s="213"/>
      <c r="CZ23" t="str">
        <f t="shared" si="31"/>
        <v/>
      </c>
      <c r="DA23" t="str">
        <f t="shared" si="32"/>
        <v/>
      </c>
      <c r="DB23" t="s">
        <v>495</v>
      </c>
    </row>
    <row r="24" spans="3:106" x14ac:dyDescent="0.25">
      <c r="C24" s="492"/>
      <c r="D24" t="str">
        <f t="shared" si="64"/>
        <v>Initial</v>
      </c>
      <c r="E24" t="str">
        <f t="shared" si="110"/>
        <v>Indicators</v>
      </c>
      <c r="F24" t="str">
        <f>_xlfn.CONCAT(VLOOKUP(D24,tech!$A$13:$B$17,2,0),LEFT(E24,1),IF(G24="","X","Y"))</f>
        <v>1IX</v>
      </c>
      <c r="G24" t="str">
        <f>IF(IF(LEFT(C24,1)="-",C24,"")="","",REPLACE(IF(LEFT(C24,1)="-",C24,""),1,1,tech!$H$2))</f>
        <v/>
      </c>
      <c r="H24" t="s">
        <v>495</v>
      </c>
      <c r="I24" s="492"/>
      <c r="J24" t="str">
        <f t="shared" si="65"/>
        <v>Organizational sponsor and support</v>
      </c>
      <c r="K24" t="str">
        <f t="shared" si="66"/>
        <v>Guidance</v>
      </c>
      <c r="L24" t="str">
        <f t="shared" si="67"/>
        <v>1.1.1.GX</v>
      </c>
      <c r="M24" t="str">
        <f>IF(AND(I24&lt;&gt;"",LEFT(I24,1)&lt;&gt;"#"),IF(LEFT(I24,1)="-",REPLACE(I24,1,1,tech!$H$2),I24),"")</f>
        <v/>
      </c>
      <c r="N24" t="s">
        <v>495</v>
      </c>
      <c r="O24" s="492" t="s">
        <v>570</v>
      </c>
      <c r="P24" t="str">
        <f t="shared" si="68"/>
        <v>The scope of policies is defined and documented</v>
      </c>
      <c r="Q24" t="str">
        <f t="shared" si="69"/>
        <v>Guidance</v>
      </c>
      <c r="R24" t="str">
        <f t="shared" si="70"/>
        <v>1.2.1.GY</v>
      </c>
      <c r="S24" t="str">
        <f>IF(AND(O24&lt;&gt;"",LEFT(O24,1)&lt;&gt;"#"),IF(LEFT(O24,1)="-",REPLACE(O24,1,1,tech!$H$2),O24),"")</f>
        <v>• Identification of the policies required for the implementation</v>
      </c>
      <c r="T24" t="s">
        <v>495</v>
      </c>
      <c r="U24" s="492"/>
      <c r="V24" t="str">
        <f t="shared" si="71"/>
        <v>Compliance policies are defined, implemented, and communicated</v>
      </c>
      <c r="W24" t="str">
        <f t="shared" si="72"/>
        <v>Guidance</v>
      </c>
      <c r="X24" t="str">
        <f t="shared" si="73"/>
        <v>1.3.1.GY</v>
      </c>
      <c r="Y24" t="str">
        <f>IF(AND(U24&lt;&gt;"",LEFT(U24,1)&lt;&gt;"#"),IF(LEFT(U24,1)="-",REPLACE(U24,1,1,tech!$H$2),U24),"")</f>
        <v/>
      </c>
      <c r="Z24" t="s">
        <v>495</v>
      </c>
      <c r="AA24" s="492"/>
      <c r="AB24" t="str">
        <f t="shared" si="74"/>
        <v>Scope of processes and procedure is aligned with policies</v>
      </c>
      <c r="AC24" t="str">
        <f t="shared" si="75"/>
        <v>Guidance</v>
      </c>
      <c r="AD24" t="str">
        <f t="shared" si="76"/>
        <v>1.4.1.GY</v>
      </c>
      <c r="AE24" t="str">
        <f>IF(AND(AA24&lt;&gt;"",LEFT(AA24,1)&lt;&gt;"#"),IF(LEFT(AA24,1)="-",REPLACE(AA24,1,1,tech!$H$2),AA24),"")</f>
        <v/>
      </c>
      <c r="AF24" t="s">
        <v>495</v>
      </c>
      <c r="AG24" s="492"/>
      <c r="AH24" t="str">
        <f t="shared" si="77"/>
        <v>Key management roles and responsibilities are documented and formally assigned</v>
      </c>
      <c r="AI24" t="str">
        <f t="shared" si="78"/>
        <v>Guidance</v>
      </c>
      <c r="AJ24" t="str">
        <f t="shared" si="79"/>
        <v>2.1.1.GY</v>
      </c>
      <c r="AK24" t="str">
        <f>IF(AND(AG24&lt;&gt;"",LEFT(AG24,1)&lt;&gt;"#"),IF(LEFT(AG24,1)="-",REPLACE(AG24,1,1,tech!$H$2),AG24),"")</f>
        <v/>
      </c>
      <c r="AL24" t="s">
        <v>495</v>
      </c>
      <c r="AM24" s="492" t="s">
        <v>781</v>
      </c>
      <c r="AN24" t="str">
        <f t="shared" si="80"/>
        <v>Certificate profiles are documented</v>
      </c>
      <c r="AO24" t="str">
        <f t="shared" si="81"/>
        <v>Guidance</v>
      </c>
      <c r="AP24" t="str">
        <f t="shared" si="82"/>
        <v>2.2.1.GY</v>
      </c>
      <c r="AQ24" t="str">
        <f>IF(AND(AM24&lt;&gt;"",LEFT(AM24,1)&lt;&gt;"#"),IF(LEFT(AM24,1)="-",REPLACE(AM24,1,1,tech!$H$2),AM24),"")</f>
        <v>* Certificate validity periods</v>
      </c>
      <c r="AR24" t="s">
        <v>495</v>
      </c>
      <c r="AS24" s="492" t="s">
        <v>915</v>
      </c>
      <c r="AT24" t="str">
        <f t="shared" si="83"/>
        <v>Network and deployment infrastructure is documented</v>
      </c>
      <c r="AU24" t="str">
        <f t="shared" si="84"/>
        <v>Guidance</v>
      </c>
      <c r="AV24" t="str">
        <f t="shared" si="85"/>
        <v>2.3.1.GY</v>
      </c>
      <c r="AW24" t="str">
        <f>IF(AND(AS24&lt;&gt;"",LEFT(AS24,1)&lt;&gt;"#"),IF(LEFT(AS24,1)="-",REPLACE(AS24,1,1,tech!$H$2),AS24),"")</f>
        <v>• PKI components and their dependencies</v>
      </c>
      <c r="AX24" t="s">
        <v>495</v>
      </c>
      <c r="AY24" s="492"/>
      <c r="AZ24" t="str">
        <f t="shared" si="86"/>
        <v>The policy for change management and agility is documented</v>
      </c>
      <c r="BA24" t="str">
        <f t="shared" si="87"/>
        <v>Guidance</v>
      </c>
      <c r="BB24" t="str">
        <f t="shared" si="88"/>
        <v>2.4.1.GY</v>
      </c>
      <c r="BC24" t="str">
        <f>IF(AND(AY24&lt;&gt;"",LEFT(AY24,1)&lt;&gt;"#"),IF(LEFT(AY24,1)="-",REPLACE(AY24,1,1,tech!$H$2),AY24),"")</f>
        <v/>
      </c>
      <c r="BD24" t="s">
        <v>495</v>
      </c>
      <c r="BE24" s="492"/>
      <c r="BF24" t="str">
        <f t="shared" si="89"/>
        <v>Risk assessment and business impact analysis</v>
      </c>
      <c r="BG24" t="str">
        <f t="shared" si="90"/>
        <v>Guidance</v>
      </c>
      <c r="BH24" t="str">
        <f t="shared" si="91"/>
        <v>3.1.1.GX</v>
      </c>
      <c r="BI24" t="str">
        <f>IF(AND(BE24&lt;&gt;"",LEFT(BE24,1)&lt;&gt;"#"),IF(LEFT(BE24,1)="-",REPLACE(BE24,1,1,tech!$H$2),BE24),"")</f>
        <v/>
      </c>
      <c r="BJ24" t="s">
        <v>495</v>
      </c>
      <c r="BK24" s="492" t="s">
        <v>1110</v>
      </c>
      <c r="BL24" t="str">
        <f t="shared" si="92"/>
        <v>Maintain PKI interoperability strategy</v>
      </c>
      <c r="BM24" t="str">
        <f t="shared" si="93"/>
        <v>Guidance</v>
      </c>
      <c r="BN24" t="str">
        <f t="shared" si="94"/>
        <v>3.2.1.GY</v>
      </c>
      <c r="BO24" t="str">
        <f>IF(AND(BK24&lt;&gt;"",LEFT(BK24,1)&lt;&gt;"#"),IF(LEFT(BK24,1)="-",REPLACE(BK24,1,1,tech!$H$2),BK24),"")</f>
        <v>• Application of interoperability</v>
      </c>
      <c r="BP24" t="s">
        <v>495</v>
      </c>
      <c r="BQ24" s="492" t="s">
        <v>1170</v>
      </c>
      <c r="BR24" t="str">
        <f t="shared" si="95"/>
        <v>Monitoring events and logging requirements are defined and documented</v>
      </c>
      <c r="BS24" t="str">
        <f t="shared" si="96"/>
        <v>Guidance</v>
      </c>
      <c r="BT24" t="str">
        <f t="shared" si="97"/>
        <v>3.3.1.GY</v>
      </c>
      <c r="BU24" t="str">
        <f>IF(AND(BQ24&lt;&gt;"",LEFT(BQ24,1)&lt;&gt;"#"),IF(LEFT(BQ24,1)="-",REPLACE(BQ24,1,1,tech!$H$2),BQ24),"")</f>
        <v>• events to be monitored</v>
      </c>
      <c r="BV24" t="s">
        <v>495</v>
      </c>
      <c r="BW24" s="492" t="s">
        <v>1227</v>
      </c>
      <c r="BX24" t="str">
        <f t="shared" si="98"/>
        <v>Process automation description</v>
      </c>
      <c r="BY24" t="str">
        <f t="shared" si="99"/>
        <v>Guidance</v>
      </c>
      <c r="BZ24" t="str">
        <f t="shared" si="100"/>
        <v>3.4.1.GY</v>
      </c>
      <c r="CA24" t="str">
        <f>IF(AND(BW24&lt;&gt;"",LEFT(BW24,1)&lt;&gt;"#"),IF(LEFT(BW24,1)="-",REPLACE(BW24,1,1,tech!$H$2),BW24),"")</f>
        <v>• use-case or process to be automated</v>
      </c>
      <c r="CB24" t="s">
        <v>495</v>
      </c>
      <c r="CC24" s="492"/>
      <c r="CD24" t="str">
        <f t="shared" si="101"/>
        <v>Resources are identified and documented</v>
      </c>
      <c r="CE24" t="str">
        <f t="shared" si="102"/>
        <v>Assessment</v>
      </c>
      <c r="CF24" t="str">
        <f t="shared" si="103"/>
        <v>4.1.1.AX</v>
      </c>
      <c r="CG24" t="str">
        <f>IF(AND(CC24&lt;&gt;"",LEFT(CC24,1)&lt;&gt;"#"),IF(LEFT(CC24,1)="-",REPLACE(CC24,1,1,tech!$H$2),CC24),"")</f>
        <v/>
      </c>
      <c r="CH24" t="s">
        <v>495</v>
      </c>
      <c r="CI24" s="492" t="s">
        <v>1318</v>
      </c>
      <c r="CJ24" t="str">
        <f t="shared" si="104"/>
        <v>Establish training plan</v>
      </c>
      <c r="CK24" t="str">
        <f t="shared" si="105"/>
        <v>Guidance</v>
      </c>
      <c r="CL24" t="str">
        <f t="shared" si="106"/>
        <v>4.2.1.GY</v>
      </c>
      <c r="CM24" t="str">
        <f>IF(AND(CI24&lt;&gt;"",LEFT(CI24,1)&lt;&gt;"#"),IF(LEFT(CI24,1)="-",REPLACE(CI24,1,1,tech!$H$2),CI24),"")</f>
        <v>• Training Prerequisites</v>
      </c>
      <c r="CN24" t="s">
        <v>495</v>
      </c>
      <c r="CO24" s="492" t="s">
        <v>1476</v>
      </c>
      <c r="CP24" t="str">
        <f t="shared" si="107"/>
        <v>Establish and maintain awareness plan</v>
      </c>
      <c r="CQ24" t="str">
        <f t="shared" si="108"/>
        <v>Guidance</v>
      </c>
      <c r="CR24" t="str">
        <f t="shared" si="109"/>
        <v>4.3.1.GY</v>
      </c>
      <c r="CS24" t="str">
        <f>IF(AND(CO24&lt;&gt;"",LEFT(CO24,1)&lt;&gt;"#"),IF(LEFT(CO24,1)="-",REPLACE(CO24,1,1,tech!$H$2),CO24),"")</f>
        <v>• How are changes communicated</v>
      </c>
      <c r="CT24" t="s">
        <v>495</v>
      </c>
    </row>
    <row r="25" spans="3:106" x14ac:dyDescent="0.25">
      <c r="C25" s="492" t="s">
        <v>448</v>
      </c>
      <c r="D25" t="str">
        <f t="shared" si="64"/>
        <v>Initial</v>
      </c>
      <c r="E25" t="str">
        <f t="shared" si="110"/>
        <v>Associated risks</v>
      </c>
      <c r="F25" t="str">
        <f>_xlfn.CONCAT(VLOOKUP(D25,tech!$A$13:$B$17,2,0),LEFT(E25,1),IF(G25="","X","Y"))</f>
        <v>1AX</v>
      </c>
      <c r="G25" t="str">
        <f>IF(IF(LEFT(C25,1)="-",C25,"")="","",REPLACE(IF(LEFT(C25,1)="-",C25,""),1,1,tech!$H$2))</f>
        <v/>
      </c>
      <c r="H25" t="s">
        <v>495</v>
      </c>
      <c r="I25" s="492" t="s">
        <v>501</v>
      </c>
      <c r="J25" t="str">
        <f t="shared" si="65"/>
        <v>Organizational sponsor and support</v>
      </c>
      <c r="K25" t="str">
        <f t="shared" si="66"/>
        <v>Assessment</v>
      </c>
      <c r="L25" t="str">
        <f t="shared" si="67"/>
        <v>1.1.1.AX</v>
      </c>
      <c r="M25" t="str">
        <f>IF(AND(I25&lt;&gt;"",LEFT(I25,1)&lt;&gt;"#"),IF(LEFT(I25,1)="-",REPLACE(I25,1,1,tech!$H$2),I25),"")</f>
        <v/>
      </c>
      <c r="N25" t="s">
        <v>495</v>
      </c>
      <c r="O25" s="492" t="s">
        <v>571</v>
      </c>
      <c r="P25" t="str">
        <f t="shared" si="68"/>
        <v>The scope of policies is defined and documented</v>
      </c>
      <c r="Q25" t="str">
        <f t="shared" si="69"/>
        <v>Guidance</v>
      </c>
      <c r="R25" t="str">
        <f t="shared" si="70"/>
        <v>1.2.1.GY</v>
      </c>
      <c r="S25" t="str">
        <f>IF(AND(O25&lt;&gt;"",LEFT(O25,1)&lt;&gt;"#"),IF(LEFT(O25,1)="-",REPLACE(O25,1,1,tech!$H$2),O25),"")</f>
        <v>• Reasoning why the policies are required or not required</v>
      </c>
      <c r="T25" t="s">
        <v>495</v>
      </c>
      <c r="U25" s="492" t="s">
        <v>621</v>
      </c>
      <c r="V25" t="str">
        <f t="shared" si="71"/>
        <v>Compliance policies are defined, implemented, and communicated</v>
      </c>
      <c r="W25" t="str">
        <f t="shared" si="72"/>
        <v>Guidance</v>
      </c>
      <c r="X25" t="str">
        <f t="shared" si="73"/>
        <v>1.3.1.GY</v>
      </c>
      <c r="Y25" t="str">
        <f>IF(AND(U25&lt;&gt;"",LEFT(U25,1)&lt;&gt;"#"),IF(LEFT(U25,1)="-",REPLACE(U25,1,1,tech!$H$2),U25),"")</f>
        <v>Having a sound set of compliance policies defined, implemented, and communicated can help to demonstrate that the organization took reasonable steps to protect the PKI and may result in reduced legal liability in the event of a breach due to improper or malicious use of the PKI.</v>
      </c>
      <c r="Z25" t="s">
        <v>495</v>
      </c>
      <c r="AA25" s="492" t="s">
        <v>662</v>
      </c>
      <c r="AB25" t="str">
        <f t="shared" si="74"/>
        <v>Scope of processes and procedure is aligned with policies</v>
      </c>
      <c r="AC25" t="str">
        <f t="shared" si="75"/>
        <v>Guidance</v>
      </c>
      <c r="AD25" t="str">
        <f t="shared" si="76"/>
        <v>1.4.1.GY</v>
      </c>
      <c r="AE25" t="str">
        <f>IF(AND(AA25&lt;&gt;"",LEFT(AA25,1)&lt;&gt;"#"),IF(LEFT(AA25,1)="-",REPLACE(AA25,1,1,tech!$H$2),AA25),"")</f>
        <v>The completeness of the processes and procedures can be evaluated by the risk assessment, audit, or by the feedback from the users.</v>
      </c>
      <c r="AF25" t="s">
        <v>495</v>
      </c>
      <c r="AG25" s="492" t="s">
        <v>705</v>
      </c>
      <c r="AH25" t="str">
        <f t="shared" si="77"/>
        <v>Key management roles and responsibilities are documented and formally assigned</v>
      </c>
      <c r="AI25" t="str">
        <f t="shared" si="78"/>
        <v>Guidance</v>
      </c>
      <c r="AJ25" t="str">
        <f t="shared" si="79"/>
        <v>2.1.1.GY</v>
      </c>
      <c r="AK25" t="str">
        <f>IF(AND(AG25&lt;&gt;"",LEFT(AG25,1)&lt;&gt;"#"),IF(LEFT(AG25,1)="-",REPLACE(AG25,1,1,tech!$H$2),AG25),"")</f>
        <v>Naming or assignment records should contain relevant information such as:</v>
      </c>
      <c r="AL25" t="s">
        <v>495</v>
      </c>
      <c r="AM25" s="492" t="s">
        <v>782</v>
      </c>
      <c r="AN25" t="str">
        <f t="shared" si="80"/>
        <v>Certificate profiles are documented</v>
      </c>
      <c r="AO25" t="str">
        <f t="shared" si="81"/>
        <v>Guidance</v>
      </c>
      <c r="AP25" t="str">
        <f t="shared" si="82"/>
        <v>2.2.1.GY</v>
      </c>
      <c r="AQ25" t="str">
        <f>IF(AND(AM25&lt;&gt;"",LEFT(AM25,1)&lt;&gt;"#"),IF(LEFT(AM25,1)="-",REPLACE(AM25,1,1,tech!$H$2),AM25),"")</f>
        <v>* Certificate extensions, mandatory and allowed extensions, their criticality and possible values</v>
      </c>
      <c r="AR25" t="s">
        <v>495</v>
      </c>
      <c r="AS25" s="492" t="s">
        <v>916</v>
      </c>
      <c r="AT25" t="str">
        <f t="shared" si="83"/>
        <v>Network and deployment infrastructure is documented</v>
      </c>
      <c r="AU25" t="str">
        <f t="shared" si="84"/>
        <v>Guidance</v>
      </c>
      <c r="AV25" t="str">
        <f t="shared" si="85"/>
        <v>2.3.1.GY</v>
      </c>
      <c r="AW25" t="str">
        <f>IF(AND(AS25&lt;&gt;"",LEFT(AS25,1)&lt;&gt;"#"),IF(LEFT(AS25,1)="-",REPLACE(AS25,1,1,tech!$H$2),AS25),"")</f>
        <v>• Facilities and equipment</v>
      </c>
      <c r="AX25" t="s">
        <v>495</v>
      </c>
      <c r="AY25" s="492" t="s">
        <v>963</v>
      </c>
      <c r="AZ25" t="str">
        <f t="shared" si="86"/>
        <v>The policy for change management and agility is documented</v>
      </c>
      <c r="BA25" t="str">
        <f t="shared" si="87"/>
        <v>Guidance</v>
      </c>
      <c r="BB25" t="str">
        <f t="shared" si="88"/>
        <v>2.4.1.GY</v>
      </c>
      <c r="BC25" t="str">
        <f>IF(AND(AY25&lt;&gt;"",LEFT(AY25,1)&lt;&gt;"#"),IF(LEFT(AY25,1)="-",REPLACE(AY25,1,1,tech!$H$2),AY25),"")</f>
        <v>The policy contains the following information:</v>
      </c>
      <c r="BD25" t="s">
        <v>495</v>
      </c>
      <c r="BE25" s="492" t="s">
        <v>501</v>
      </c>
      <c r="BF25" t="str">
        <f t="shared" si="89"/>
        <v>Risk assessment and business impact analysis</v>
      </c>
      <c r="BG25" t="str">
        <f t="shared" si="90"/>
        <v>Assessment</v>
      </c>
      <c r="BH25" t="str">
        <f t="shared" si="91"/>
        <v>3.1.1.AX</v>
      </c>
      <c r="BI25" t="str">
        <f>IF(AND(BE25&lt;&gt;"",LEFT(BE25,1)&lt;&gt;"#"),IF(LEFT(BE25,1)="-",REPLACE(BE25,1,1,tech!$H$2),BE25),"")</f>
        <v/>
      </c>
      <c r="BJ25" t="s">
        <v>495</v>
      </c>
      <c r="BK25" s="492" t="s">
        <v>1111</v>
      </c>
      <c r="BL25" t="str">
        <f t="shared" si="92"/>
        <v>Maintain PKI interoperability strategy</v>
      </c>
      <c r="BM25" t="str">
        <f t="shared" si="93"/>
        <v>Guidance</v>
      </c>
      <c r="BN25" t="str">
        <f t="shared" si="94"/>
        <v>3.2.1.GY</v>
      </c>
      <c r="BO25" t="str">
        <f>IF(AND(BK25&lt;&gt;"",LEFT(BK25,1)&lt;&gt;"#"),IF(LEFT(BK25,1)="-",REPLACE(BK25,1,1,tech!$H$2),BK25),"")</f>
        <v>• Using open standards and protocols</v>
      </c>
      <c r="BP25" t="s">
        <v>495</v>
      </c>
      <c r="BQ25" s="492" t="s">
        <v>1171</v>
      </c>
      <c r="BR25" t="str">
        <f t="shared" si="95"/>
        <v>Monitoring events and logging requirements are defined and documented</v>
      </c>
      <c r="BS25" t="str">
        <f t="shared" si="96"/>
        <v>Guidance</v>
      </c>
      <c r="BT25" t="str">
        <f t="shared" si="97"/>
        <v>3.3.1.GY</v>
      </c>
      <c r="BU25" t="str">
        <f>IF(AND(BQ25&lt;&gt;"",LEFT(BQ25,1)&lt;&gt;"#"),IF(LEFT(BQ25,1)="-",REPLACE(BQ25,1,1,tech!$H$2),BQ25),"")</f>
        <v>• frequency of Monitoring</v>
      </c>
      <c r="BV25" t="s">
        <v>495</v>
      </c>
      <c r="BW25" s="492" t="s">
        <v>1228</v>
      </c>
      <c r="BX25" t="str">
        <f t="shared" si="98"/>
        <v>Process automation description</v>
      </c>
      <c r="BY25" t="str">
        <f t="shared" si="99"/>
        <v>Guidance</v>
      </c>
      <c r="BZ25" t="str">
        <f t="shared" si="100"/>
        <v>3.4.1.GY</v>
      </c>
      <c r="CA25" t="str">
        <f>IF(AND(BW25&lt;&gt;"",LEFT(BW25,1)&lt;&gt;"#"),IF(LEFT(BW25,1)="-",REPLACE(BW25,1,1,tech!$H$2),BW25),"")</f>
        <v>• Reasons for automation</v>
      </c>
      <c r="CB25" t="s">
        <v>495</v>
      </c>
      <c r="CC25" s="492" t="s">
        <v>502</v>
      </c>
      <c r="CD25" t="str">
        <f t="shared" si="101"/>
        <v>Resources are identified and documented</v>
      </c>
      <c r="CE25" t="str">
        <f t="shared" si="102"/>
        <v>Assessment</v>
      </c>
      <c r="CF25" t="str">
        <f t="shared" si="103"/>
        <v>4.1.1.AY</v>
      </c>
      <c r="CG25" t="str">
        <f>IF(AND(CC25&lt;&gt;"",LEFT(CC25,1)&lt;&gt;"#"),IF(LEFT(CC25,1)="-",REPLACE(CC25,1,1,tech!$H$2),CC25),"")</f>
        <v>The following is sample evidence that can be used to assess the requirement:</v>
      </c>
      <c r="CH25" t="s">
        <v>495</v>
      </c>
      <c r="CI25" s="492" t="s">
        <v>1319</v>
      </c>
      <c r="CJ25" t="str">
        <f t="shared" si="104"/>
        <v>Establish training plan</v>
      </c>
      <c r="CK25" t="str">
        <f t="shared" si="105"/>
        <v>Guidance</v>
      </c>
      <c r="CL25" t="str">
        <f t="shared" si="106"/>
        <v>4.2.1.GY</v>
      </c>
      <c r="CM25" t="str">
        <f>IF(AND(CI25&lt;&gt;"",LEFT(CI25,1)&lt;&gt;"#"),IF(LEFT(CI25,1)="-",REPLACE(CI25,1,1,tech!$H$2),CI25),"")</f>
        <v>• Training matrix (who needs to be trained and what Training should be received)</v>
      </c>
      <c r="CN25" t="s">
        <v>495</v>
      </c>
      <c r="CO25" s="492" t="s">
        <v>1477</v>
      </c>
      <c r="CP25" t="str">
        <f t="shared" si="107"/>
        <v>Establish and maintain awareness plan</v>
      </c>
      <c r="CQ25" t="str">
        <f t="shared" si="108"/>
        <v>Guidance</v>
      </c>
      <c r="CR25" t="str">
        <f t="shared" si="109"/>
        <v>4.3.1.GY</v>
      </c>
      <c r="CS25" t="str">
        <f>IF(AND(CO25&lt;&gt;"",LEFT(CO25,1)&lt;&gt;"#"),IF(LEFT(CO25,1)="-",REPLACE(CO25,1,1,tech!$H$2),CO25),"")</f>
        <v>• Who is responsible for accurate awareness</v>
      </c>
      <c r="CT25" t="s">
        <v>495</v>
      </c>
    </row>
    <row r="26" spans="3:106" x14ac:dyDescent="0.25">
      <c r="C26" s="492"/>
      <c r="D26" t="str">
        <f t="shared" si="64"/>
        <v>Initial</v>
      </c>
      <c r="E26" t="str">
        <f t="shared" si="110"/>
        <v>Associated risks</v>
      </c>
      <c r="F26" t="str">
        <f>_xlfn.CONCAT(VLOOKUP(D26,tech!$A$13:$B$17,2,0),LEFT(E26,1),IF(G26="","X","Y"))</f>
        <v>1AX</v>
      </c>
      <c r="G26" t="str">
        <f>IF(IF(LEFT(C26,1)="-",C26,"")="","",REPLACE(IF(LEFT(C26,1)="-",C26,""),1,1,tech!$H$2))</f>
        <v/>
      </c>
      <c r="H26" t="s">
        <v>495</v>
      </c>
      <c r="I26" s="492"/>
      <c r="J26" t="str">
        <f t="shared" si="65"/>
        <v>Organizational sponsor and support</v>
      </c>
      <c r="K26" t="str">
        <f t="shared" si="66"/>
        <v>Assessment</v>
      </c>
      <c r="L26" t="str">
        <f t="shared" si="67"/>
        <v>1.1.1.AX</v>
      </c>
      <c r="M26" t="str">
        <f>IF(AND(I26&lt;&gt;"",LEFT(I26,1)&lt;&gt;"#"),IF(LEFT(I26,1)="-",REPLACE(I26,1,1,tech!$H$2),I26),"")</f>
        <v/>
      </c>
      <c r="N26" t="s">
        <v>495</v>
      </c>
      <c r="O26" s="492" t="s">
        <v>572</v>
      </c>
      <c r="P26" t="str">
        <f t="shared" si="68"/>
        <v>The scope of policies is defined and documented</v>
      </c>
      <c r="Q26" t="str">
        <f t="shared" si="69"/>
        <v>Guidance</v>
      </c>
      <c r="R26" t="str">
        <f t="shared" si="70"/>
        <v>1.2.1.GY</v>
      </c>
      <c r="S26" t="str">
        <f>IF(AND(O26&lt;&gt;"",LEFT(O26,1)&lt;&gt;"#"),IF(LEFT(O26,1)="-",REPLACE(O26,1,1,tech!$H$2),O26),"")</f>
        <v>• Structure of policies and documentation</v>
      </c>
      <c r="T26" t="s">
        <v>495</v>
      </c>
      <c r="U26" s="492"/>
      <c r="V26" t="str">
        <f t="shared" si="71"/>
        <v>Compliance policies are defined, implemented, and communicated</v>
      </c>
      <c r="W26" t="str">
        <f t="shared" si="72"/>
        <v>Guidance</v>
      </c>
      <c r="X26" t="str">
        <f t="shared" si="73"/>
        <v>1.3.1.GY</v>
      </c>
      <c r="Y26" t="str">
        <f>IF(AND(U26&lt;&gt;"",LEFT(U26,1)&lt;&gt;"#"),IF(LEFT(U26,1)="-",REPLACE(U26,1,1,tech!$H$2),U26),"")</f>
        <v/>
      </c>
      <c r="Z26" t="s">
        <v>495</v>
      </c>
      <c r="AA26" s="492"/>
      <c r="AB26" t="str">
        <f t="shared" si="74"/>
        <v>Scope of processes and procedure is aligned with policies</v>
      </c>
      <c r="AC26" t="str">
        <f t="shared" si="75"/>
        <v>Guidance</v>
      </c>
      <c r="AD26" t="str">
        <f t="shared" si="76"/>
        <v>1.4.1.GX</v>
      </c>
      <c r="AE26" t="str">
        <f>IF(AND(AA26&lt;&gt;"",LEFT(AA26,1)&lt;&gt;"#"),IF(LEFT(AA26,1)="-",REPLACE(AA26,1,1,tech!$H$2),AA26),"")</f>
        <v/>
      </c>
      <c r="AF26" t="s">
        <v>495</v>
      </c>
      <c r="AG26" s="492" t="s">
        <v>734</v>
      </c>
      <c r="AH26" t="str">
        <f t="shared" si="77"/>
        <v>Key management roles and responsibilities are documented and formally assigned</v>
      </c>
      <c r="AI26" t="str">
        <f t="shared" si="78"/>
        <v>Guidance</v>
      </c>
      <c r="AJ26" t="str">
        <f t="shared" si="79"/>
        <v>2.1.1.GY</v>
      </c>
      <c r="AK26" t="str">
        <f>IF(AND(AG26&lt;&gt;"",LEFT(AG26,1)&lt;&gt;"#"),IF(LEFT(AG26,1)="-",REPLACE(AG26,1,1,tech!$H$2),AG26),"")</f>
        <v>• Identification of personnel</v>
      </c>
      <c r="AL26" t="s">
        <v>495</v>
      </c>
      <c r="AM26" s="492" t="s">
        <v>783</v>
      </c>
      <c r="AN26" t="str">
        <f t="shared" si="80"/>
        <v>Certificate profiles are documented</v>
      </c>
      <c r="AO26" t="str">
        <f t="shared" si="81"/>
        <v>Guidance</v>
      </c>
      <c r="AP26" t="str">
        <f t="shared" si="82"/>
        <v>2.2.1.GY</v>
      </c>
      <c r="AQ26" t="str">
        <f>IF(AND(AM26&lt;&gt;"",LEFT(AM26,1)&lt;&gt;"#"),IF(LEFT(AM26,1)="-",REPLACE(AM26,1,1,tech!$H$2),AM26),"")</f>
        <v>* Allowed key types and signature algorithms</v>
      </c>
      <c r="AR26" t="s">
        <v>495</v>
      </c>
      <c r="AS26" s="492" t="s">
        <v>917</v>
      </c>
      <c r="AT26" t="str">
        <f t="shared" si="83"/>
        <v>Network and deployment infrastructure is documented</v>
      </c>
      <c r="AU26" t="str">
        <f t="shared" si="84"/>
        <v>Guidance</v>
      </c>
      <c r="AV26" t="str">
        <f t="shared" si="85"/>
        <v>2.3.1.GY</v>
      </c>
      <c r="AW26" t="str">
        <f>IF(AND(AS26&lt;&gt;"",LEFT(AS26,1)&lt;&gt;"#"),IF(LEFT(AS26,1)="-",REPLACE(AS26,1,1,tech!$H$2),AS26),"")</f>
        <v>• Deployment infrastructure description</v>
      </c>
      <c r="AX26" t="s">
        <v>495</v>
      </c>
      <c r="AY26" s="492" t="s">
        <v>979</v>
      </c>
      <c r="AZ26" t="str">
        <f t="shared" si="86"/>
        <v>The policy for change management and agility is documented</v>
      </c>
      <c r="BA26" t="str">
        <f t="shared" si="87"/>
        <v>Guidance</v>
      </c>
      <c r="BB26" t="str">
        <f t="shared" si="88"/>
        <v>2.4.1.GY</v>
      </c>
      <c r="BC26" t="str">
        <f>IF(AND(AY26&lt;&gt;"",LEFT(AY26,1)&lt;&gt;"#"),IF(LEFT(AY26,1)="-",REPLACE(AY26,1,1,tech!$H$2),AY26),"")</f>
        <v>• Approach to change management and agility</v>
      </c>
      <c r="BD26" t="s">
        <v>495</v>
      </c>
      <c r="BE26" s="492"/>
      <c r="BF26" t="str">
        <f t="shared" si="89"/>
        <v>Risk assessment and business impact analysis</v>
      </c>
      <c r="BG26" t="str">
        <f t="shared" si="90"/>
        <v>Assessment</v>
      </c>
      <c r="BH26" t="str">
        <f t="shared" si="91"/>
        <v>3.1.1.AX</v>
      </c>
      <c r="BI26" t="str">
        <f>IF(AND(BE26&lt;&gt;"",LEFT(BE26,1)&lt;&gt;"#"),IF(LEFT(BE26,1)="-",REPLACE(BE26,1,1,tech!$H$2),BE26),"")</f>
        <v/>
      </c>
      <c r="BJ26" t="s">
        <v>495</v>
      </c>
      <c r="BK26" s="492" t="s">
        <v>1112</v>
      </c>
      <c r="BL26" t="str">
        <f t="shared" si="92"/>
        <v>Maintain PKI interoperability strategy</v>
      </c>
      <c r="BM26" t="str">
        <f t="shared" si="93"/>
        <v>Guidance</v>
      </c>
      <c r="BN26" t="str">
        <f t="shared" si="94"/>
        <v>3.2.1.GY</v>
      </c>
      <c r="BO26" t="str">
        <f>IF(AND(BK26&lt;&gt;"",LEFT(BK26,1)&lt;&gt;"#"),IF(LEFT(BK26,1)="-",REPLACE(BK26,1,1,tech!$H$2),BK26),"")</f>
        <v>• Conditions for PKI components to be interoperable</v>
      </c>
      <c r="BP26" t="s">
        <v>495</v>
      </c>
      <c r="BQ26" s="492" t="s">
        <v>1172</v>
      </c>
      <c r="BR26" t="str">
        <f t="shared" si="95"/>
        <v>Monitoring events and logging requirements are defined and documented</v>
      </c>
      <c r="BS26" t="str">
        <f t="shared" si="96"/>
        <v>Guidance</v>
      </c>
      <c r="BT26" t="str">
        <f t="shared" si="97"/>
        <v>3.3.1.GY</v>
      </c>
      <c r="BU26" t="str">
        <f>IF(AND(BQ26&lt;&gt;"",LEFT(BQ26,1)&lt;&gt;"#"),IF(LEFT(BQ26,1)="-",REPLACE(BQ26,1,1,tech!$H$2),BQ26),"")</f>
        <v>• logs to be collected</v>
      </c>
      <c r="BV26" t="s">
        <v>495</v>
      </c>
      <c r="BW26" s="492" t="s">
        <v>1229</v>
      </c>
      <c r="BX26" t="str">
        <f t="shared" si="98"/>
        <v>Process automation description</v>
      </c>
      <c r="BY26" t="str">
        <f t="shared" si="99"/>
        <v>Guidance</v>
      </c>
      <c r="BZ26" t="str">
        <f t="shared" si="100"/>
        <v>3.4.1.GY</v>
      </c>
      <c r="CA26" t="str">
        <f>IF(AND(BW26&lt;&gt;"",LEFT(BW26,1)&lt;&gt;"#"),IF(LEFT(BW26,1)="-",REPLACE(BW26,1,1,tech!$H$2),BW26),"")</f>
        <v>• description of the automation process</v>
      </c>
      <c r="CB26" t="s">
        <v>495</v>
      </c>
      <c r="CC26" s="492" t="s">
        <v>1273</v>
      </c>
      <c r="CD26" t="str">
        <f t="shared" si="101"/>
        <v>Resources are identified and documented</v>
      </c>
      <c r="CE26" t="str">
        <f t="shared" si="102"/>
        <v>Assessment</v>
      </c>
      <c r="CF26" t="str">
        <f t="shared" si="103"/>
        <v>4.1.1.AY</v>
      </c>
      <c r="CG26" t="str">
        <f>IF(AND(CC26&lt;&gt;"",LEFT(CC26,1)&lt;&gt;"#"),IF(LEFT(CC26,1)="-",REPLACE(CC26,1,1,tech!$H$2),CC26),"")</f>
        <v>• Resource management process</v>
      </c>
      <c r="CH26" t="s">
        <v>495</v>
      </c>
      <c r="CI26" s="492" t="s">
        <v>1320</v>
      </c>
      <c r="CJ26" t="str">
        <f t="shared" si="104"/>
        <v>Establish training plan</v>
      </c>
      <c r="CK26" t="str">
        <f t="shared" si="105"/>
        <v>Guidance</v>
      </c>
      <c r="CL26" t="str">
        <f t="shared" si="106"/>
        <v>4.2.1.GY</v>
      </c>
      <c r="CM26" t="str">
        <f>IF(AND(CI26&lt;&gt;"",LEFT(CI26,1)&lt;&gt;"#"),IF(LEFT(CI26,1)="-",REPLACE(CI26,1,1,tech!$H$2),CI26),"")</f>
        <v>• Training schedule</v>
      </c>
      <c r="CN26" t="s">
        <v>495</v>
      </c>
      <c r="CO26" s="492" t="s">
        <v>1478</v>
      </c>
      <c r="CP26" t="str">
        <f t="shared" si="107"/>
        <v>Establish and maintain awareness plan</v>
      </c>
      <c r="CQ26" t="str">
        <f t="shared" si="108"/>
        <v>Guidance</v>
      </c>
      <c r="CR26" t="str">
        <f t="shared" si="109"/>
        <v>4.3.1.GY</v>
      </c>
      <c r="CS26" t="str">
        <f>IF(AND(CO26&lt;&gt;"",LEFT(CO26,1)&lt;&gt;"#"),IF(LEFT(CO26,1)="-",REPLACE(CO26,1,1,tech!$H$2),CO26),"")</f>
        <v>• Resolving communication issues and incidents</v>
      </c>
      <c r="CT26" t="s">
        <v>495</v>
      </c>
    </row>
    <row r="27" spans="3:106" x14ac:dyDescent="0.25">
      <c r="C27" s="492" t="s">
        <v>457</v>
      </c>
      <c r="D27" t="str">
        <f t="shared" si="64"/>
        <v>Initial</v>
      </c>
      <c r="E27" t="str">
        <f t="shared" si="110"/>
        <v>Associated risks</v>
      </c>
      <c r="F27" t="str">
        <f>_xlfn.CONCAT(VLOOKUP(D27,tech!$A$13:$B$17,2,0),LEFT(E27,1),IF(G27="","X","Y"))</f>
        <v>1AY</v>
      </c>
      <c r="G27" t="str">
        <f>IF(IF(LEFT(C27,1)="-",C27,"")="","",REPLACE(IF(LEFT(C27,1)="-",C27,""),1,1,tech!$H$2))</f>
        <v>• High probability of compromise</v>
      </c>
      <c r="H27" t="s">
        <v>495</v>
      </c>
      <c r="I27" s="492" t="s">
        <v>502</v>
      </c>
      <c r="J27" t="str">
        <f t="shared" si="65"/>
        <v>Organizational sponsor and support</v>
      </c>
      <c r="K27" t="str">
        <f t="shared" si="66"/>
        <v>Assessment</v>
      </c>
      <c r="L27" t="str">
        <f t="shared" si="67"/>
        <v>1.1.1.AY</v>
      </c>
      <c r="M27" t="str">
        <f>IF(AND(I27&lt;&gt;"",LEFT(I27,1)&lt;&gt;"#"),IF(LEFT(I27,1)="-",REPLACE(I27,1,1,tech!$H$2),I27),"")</f>
        <v>The following is sample evidence that can be used to assess the requirement:</v>
      </c>
      <c r="N27" t="s">
        <v>495</v>
      </c>
      <c r="O27" s="492" t="s">
        <v>550</v>
      </c>
      <c r="P27" t="str">
        <f t="shared" si="68"/>
        <v>The scope of policies is defined and documented</v>
      </c>
      <c r="Q27" t="str">
        <f t="shared" si="69"/>
        <v>Guidance</v>
      </c>
      <c r="R27" t="str">
        <f t="shared" si="70"/>
        <v>1.2.1.GY</v>
      </c>
      <c r="S27" t="str">
        <f>IF(AND(O27&lt;&gt;"",LEFT(O27,1)&lt;&gt;"#"),IF(LEFT(O27,1)="-",REPLACE(O27,1,1,tech!$H$2),O27),"")</f>
        <v>• List of policies with references, versions, etc.</v>
      </c>
      <c r="T27" t="s">
        <v>495</v>
      </c>
      <c r="U27" s="492" t="s">
        <v>622</v>
      </c>
      <c r="V27" t="str">
        <f t="shared" si="71"/>
        <v>Compliance policies are defined, implemented, and communicated</v>
      </c>
      <c r="W27" t="str">
        <f t="shared" si="72"/>
        <v>Guidance</v>
      </c>
      <c r="X27" t="str">
        <f t="shared" si="73"/>
        <v>1.3.1.GY</v>
      </c>
      <c r="Y27" t="str">
        <f>IF(AND(U27&lt;&gt;"",LEFT(U27,1)&lt;&gt;"#"),IF(LEFT(U27,1)="-",REPLACE(U27,1,1,tech!$H$2),U27),"")</f>
        <v>The compliance policies typically include:</v>
      </c>
      <c r="Z27" t="s">
        <v>495</v>
      </c>
      <c r="AA27" s="492" t="s">
        <v>501</v>
      </c>
      <c r="AB27" t="str">
        <f t="shared" si="74"/>
        <v>Scope of processes and procedure is aligned with policies</v>
      </c>
      <c r="AC27" t="str">
        <f t="shared" si="75"/>
        <v>Assessment</v>
      </c>
      <c r="AD27" t="str">
        <f t="shared" si="76"/>
        <v>1.4.1.AX</v>
      </c>
      <c r="AE27" t="str">
        <f>IF(AND(AA27&lt;&gt;"",LEFT(AA27,1)&lt;&gt;"#"),IF(LEFT(AA27,1)="-",REPLACE(AA27,1,1,tech!$H$2),AA27),"")</f>
        <v/>
      </c>
      <c r="AF27" t="s">
        <v>495</v>
      </c>
      <c r="AG27" s="492" t="s">
        <v>735</v>
      </c>
      <c r="AH27" t="str">
        <f t="shared" si="77"/>
        <v>Key management roles and responsibilities are documented and formally assigned</v>
      </c>
      <c r="AI27" t="str">
        <f t="shared" si="78"/>
        <v>Guidance</v>
      </c>
      <c r="AJ27" t="str">
        <f t="shared" si="79"/>
        <v>2.1.1.GY</v>
      </c>
      <c r="AK27" t="str">
        <f>IF(AND(AG27&lt;&gt;"",LEFT(AG27,1)&lt;&gt;"#"),IF(LEFT(AG27,1)="-",REPLACE(AG27,1,1,tech!$H$2),AG27),"")</f>
        <v>• Role to be assigned</v>
      </c>
      <c r="AL27" t="s">
        <v>495</v>
      </c>
      <c r="AM27" s="492" t="s">
        <v>784</v>
      </c>
      <c r="AN27" t="str">
        <f t="shared" si="80"/>
        <v>Certificate profiles are documented</v>
      </c>
      <c r="AO27" t="str">
        <f t="shared" si="81"/>
        <v>Guidance</v>
      </c>
      <c r="AP27" t="str">
        <f t="shared" si="82"/>
        <v>2.2.1.GY</v>
      </c>
      <c r="AQ27" t="str">
        <f>IF(AND(AM27&lt;&gt;"",LEFT(AM27,1)&lt;&gt;"#"),IF(LEFT(AM27,1)="-",REPLACE(AM27,1,1,tech!$H$2),AM27),"")</f>
        <v>* Revocation profiles, i.e. CRL and/or OCSP</v>
      </c>
      <c r="AR27" t="s">
        <v>495</v>
      </c>
      <c r="AS27" s="492" t="s">
        <v>918</v>
      </c>
      <c r="AT27" t="str">
        <f t="shared" si="83"/>
        <v>Network and deployment infrastructure is documented</v>
      </c>
      <c r="AU27" t="str">
        <f t="shared" si="84"/>
        <v>Guidance</v>
      </c>
      <c r="AV27" t="str">
        <f t="shared" si="85"/>
        <v>2.3.1.GY</v>
      </c>
      <c r="AW27" t="str">
        <f>IF(AND(AS27&lt;&gt;"",LEFT(AS27,1)&lt;&gt;"#"),IF(LEFT(AS27,1)="-",REPLACE(AS27,1,1,tech!$H$2),AS27),"")</f>
        <v>• Clustering and load balancing</v>
      </c>
      <c r="AX27" t="s">
        <v>495</v>
      </c>
      <c r="AY27" s="492" t="s">
        <v>980</v>
      </c>
      <c r="AZ27" t="str">
        <f t="shared" si="86"/>
        <v>The policy for change management and agility is documented</v>
      </c>
      <c r="BA27" t="str">
        <f t="shared" si="87"/>
        <v>Guidance</v>
      </c>
      <c r="BB27" t="str">
        <f t="shared" si="88"/>
        <v>2.4.1.GY</v>
      </c>
      <c r="BC27" t="str">
        <f>IF(AND(AY27&lt;&gt;"",LEFT(AY27,1)&lt;&gt;"#"),IF(LEFT(AY27,1)="-",REPLACE(AY27,1,1,tech!$H$2),AY27),"")</f>
        <v>• Principles and boundaries for change management and agility</v>
      </c>
      <c r="BD27" t="s">
        <v>495</v>
      </c>
      <c r="BE27" s="492" t="s">
        <v>502</v>
      </c>
      <c r="BF27" t="str">
        <f t="shared" si="89"/>
        <v>Risk assessment and business impact analysis</v>
      </c>
      <c r="BG27" t="str">
        <f t="shared" si="90"/>
        <v>Assessment</v>
      </c>
      <c r="BH27" t="str">
        <f t="shared" si="91"/>
        <v>3.1.1.AY</v>
      </c>
      <c r="BI27" t="str">
        <f>IF(AND(BE27&lt;&gt;"",LEFT(BE27,1)&lt;&gt;"#"),IF(LEFT(BE27,1)="-",REPLACE(BE27,1,1,tech!$H$2),BE27),"")</f>
        <v>The following is sample evidence that can be used to assess the requirement:</v>
      </c>
      <c r="BJ27" t="s">
        <v>495</v>
      </c>
      <c r="BK27" s="492" t="s">
        <v>1113</v>
      </c>
      <c r="BL27" t="str">
        <f t="shared" si="92"/>
        <v>Maintain PKI interoperability strategy</v>
      </c>
      <c r="BM27" t="str">
        <f t="shared" si="93"/>
        <v>Guidance</v>
      </c>
      <c r="BN27" t="str">
        <f t="shared" si="94"/>
        <v>3.2.1.GY</v>
      </c>
      <c r="BO27" t="str">
        <f>IF(AND(BK27&lt;&gt;"",LEFT(BK27,1)&lt;&gt;"#"),IF(LEFT(BK27,1)="-",REPLACE(BK27,1,1,tech!$H$2),BK27),"")</f>
        <v>• Restrictions on the use of proprietary interfaces</v>
      </c>
      <c r="BP27" t="s">
        <v>495</v>
      </c>
      <c r="BQ27" s="492" t="s">
        <v>1173</v>
      </c>
      <c r="BR27" t="str">
        <f t="shared" si="95"/>
        <v>Monitoring events and logging requirements are defined and documented</v>
      </c>
      <c r="BS27" t="str">
        <f t="shared" si="96"/>
        <v>Guidance</v>
      </c>
      <c r="BT27" t="str">
        <f t="shared" si="97"/>
        <v>3.3.1.GY</v>
      </c>
      <c r="BU27" t="str">
        <f>IF(AND(BQ27&lt;&gt;"",LEFT(BQ27,1)&lt;&gt;"#"),IF(LEFT(BQ27,1)="-",REPLACE(BQ27,1,1,tech!$H$2),BQ27),"")</f>
        <v>• Retention period for logs</v>
      </c>
      <c r="BV27" t="s">
        <v>495</v>
      </c>
      <c r="BW27" s="492" t="s">
        <v>1230</v>
      </c>
      <c r="BX27" t="str">
        <f t="shared" si="98"/>
        <v>Process automation description</v>
      </c>
      <c r="BY27" t="str">
        <f t="shared" si="99"/>
        <v>Guidance</v>
      </c>
      <c r="BZ27" t="str">
        <f t="shared" si="100"/>
        <v>3.4.1.GY</v>
      </c>
      <c r="CA27" t="str">
        <f>IF(AND(BW27&lt;&gt;"",LEFT(BW27,1)&lt;&gt;"#"),IF(LEFT(BW27,1)="-",REPLACE(BW27,1,1,tech!$H$2),BW27),"")</f>
        <v>• involved Tools and technologies</v>
      </c>
      <c r="CB27" t="s">
        <v>495</v>
      </c>
      <c r="CC27" s="492" t="s">
        <v>1274</v>
      </c>
      <c r="CD27" t="str">
        <f t="shared" si="101"/>
        <v>Resources are identified and documented</v>
      </c>
      <c r="CE27" t="str">
        <f t="shared" si="102"/>
        <v>Assessment</v>
      </c>
      <c r="CF27" t="str">
        <f t="shared" si="103"/>
        <v>4.1.1.AY</v>
      </c>
      <c r="CG27" t="str">
        <f>IF(AND(CC27&lt;&gt;"",LEFT(CC27,1)&lt;&gt;"#"),IF(LEFT(CC27,1)="-",REPLACE(CC27,1,1,tech!$H$2),CC27),"")</f>
        <v>• Documented requirements on the resources</v>
      </c>
      <c r="CH27" t="s">
        <v>495</v>
      </c>
      <c r="CI27" s="492" t="s">
        <v>1321</v>
      </c>
      <c r="CJ27" t="str">
        <f t="shared" si="104"/>
        <v>Establish training plan</v>
      </c>
      <c r="CK27" t="str">
        <f t="shared" si="105"/>
        <v>Guidance</v>
      </c>
      <c r="CL27" t="str">
        <f t="shared" si="106"/>
        <v>4.2.1.GY</v>
      </c>
      <c r="CM27" t="str">
        <f>IF(AND(CI27&lt;&gt;"",LEFT(CI27,1)&lt;&gt;"#"),IF(LEFT(CI27,1)="-",REPLACE(CI27,1,1,tech!$H$2),CI27),"")</f>
        <v>• Training format and methods</v>
      </c>
      <c r="CN27" t="s">
        <v>495</v>
      </c>
      <c r="CO27" s="492"/>
      <c r="CP27" t="str">
        <f t="shared" si="107"/>
        <v>Establish and maintain awareness plan</v>
      </c>
      <c r="CQ27" t="str">
        <f t="shared" si="108"/>
        <v>Guidance</v>
      </c>
      <c r="CR27" t="str">
        <f t="shared" si="109"/>
        <v>4.3.1.GY</v>
      </c>
      <c r="CS27" t="str">
        <f>IF(AND(CO27&lt;&gt;"",LEFT(CO27,1)&lt;&gt;"#"),IF(LEFT(CO27,1)="-",REPLACE(CO27,1,1,tech!$H$2),CO27),"")</f>
        <v/>
      </c>
      <c r="CT27" t="s">
        <v>495</v>
      </c>
    </row>
    <row r="28" spans="3:106" x14ac:dyDescent="0.25">
      <c r="C28" s="492" t="s">
        <v>458</v>
      </c>
      <c r="D28" t="str">
        <f t="shared" si="64"/>
        <v>Initial</v>
      </c>
      <c r="E28" t="str">
        <f t="shared" si="110"/>
        <v>Associated risks</v>
      </c>
      <c r="F28" t="str">
        <f>_xlfn.CONCAT(VLOOKUP(D28,tech!$A$13:$B$17,2,0),LEFT(E28,1),IF(G28="","X","Y"))</f>
        <v>1AY</v>
      </c>
      <c r="G28" t="str">
        <f>IF(IF(LEFT(C28,1)="-",C28,"")="","",REPLACE(IF(LEFT(C28,1)="-",C28,""),1,1,tech!$H$2))</f>
        <v>• High probability of operational issues</v>
      </c>
      <c r="H28" t="s">
        <v>495</v>
      </c>
      <c r="I28" s="492" t="s">
        <v>520</v>
      </c>
      <c r="J28" t="str">
        <f t="shared" si="65"/>
        <v>Organizational sponsor and support</v>
      </c>
      <c r="K28" t="str">
        <f t="shared" si="66"/>
        <v>Assessment</v>
      </c>
      <c r="L28" t="str">
        <f t="shared" si="67"/>
        <v>1.1.1.AY</v>
      </c>
      <c r="M28" t="str">
        <f>IF(AND(I28&lt;&gt;"",LEFT(I28,1)&lt;&gt;"#"),IF(LEFT(I28,1)="-",REPLACE(I28,1,1,tech!$H$2),I28),"")</f>
        <v>• Interview with the top management</v>
      </c>
      <c r="N28" t="s">
        <v>495</v>
      </c>
      <c r="O28" s="492" t="s">
        <v>573</v>
      </c>
      <c r="P28" t="str">
        <f t="shared" si="68"/>
        <v>The scope of policies is defined and documented</v>
      </c>
      <c r="Q28" t="str">
        <f t="shared" si="69"/>
        <v>Guidance</v>
      </c>
      <c r="R28" t="str">
        <f t="shared" si="70"/>
        <v>1.2.1.GY</v>
      </c>
      <c r="S28" t="str">
        <f>IF(AND(O28&lt;&gt;"",LEFT(O28,1)&lt;&gt;"#"),IF(LEFT(O28,1)="-",REPLACE(O28,1,1,tech!$H$2),O28),"")</f>
        <v>• any other relevant information</v>
      </c>
      <c r="T28" t="s">
        <v>495</v>
      </c>
      <c r="U28" s="492" t="s">
        <v>623</v>
      </c>
      <c r="V28" t="str">
        <f t="shared" si="71"/>
        <v>Compliance policies are defined, implemented, and communicated</v>
      </c>
      <c r="W28" t="str">
        <f t="shared" si="72"/>
        <v>Guidance</v>
      </c>
      <c r="X28" t="str">
        <f t="shared" si="73"/>
        <v>1.3.1.GY</v>
      </c>
      <c r="Y28" t="str">
        <f>IF(AND(U28&lt;&gt;"",LEFT(U28,1)&lt;&gt;"#"),IF(LEFT(U28,1)="-",REPLACE(U28,1,1,tech!$H$2),U28),"")</f>
        <v>• Laws, industry regulations and government legislation that apply to the organization business and PKI</v>
      </c>
      <c r="Z28" t="s">
        <v>495</v>
      </c>
      <c r="AA28" s="492"/>
      <c r="AB28" t="str">
        <f t="shared" si="74"/>
        <v>Scope of processes and procedure is aligned with policies</v>
      </c>
      <c r="AC28" t="str">
        <f t="shared" si="75"/>
        <v>Assessment</v>
      </c>
      <c r="AD28" t="str">
        <f t="shared" si="76"/>
        <v>1.4.1.AX</v>
      </c>
      <c r="AE28" t="str">
        <f>IF(AND(AA28&lt;&gt;"",LEFT(AA28,1)&lt;&gt;"#"),IF(LEFT(AA28,1)="-",REPLACE(AA28,1,1,tech!$H$2),AA28),"")</f>
        <v/>
      </c>
      <c r="AF28" t="s">
        <v>495</v>
      </c>
      <c r="AG28" s="492" t="s">
        <v>736</v>
      </c>
      <c r="AH28" t="str">
        <f t="shared" si="77"/>
        <v>Key management roles and responsibilities are documented and formally assigned</v>
      </c>
      <c r="AI28" t="str">
        <f t="shared" si="78"/>
        <v>Guidance</v>
      </c>
      <c r="AJ28" t="str">
        <f t="shared" si="79"/>
        <v>2.1.1.GY</v>
      </c>
      <c r="AK28" t="str">
        <f>IF(AND(AG28&lt;&gt;"",LEFT(AG28,1)&lt;&gt;"#"),IF(LEFT(AG28,1)="-",REPLACE(AG28,1,1,tech!$H$2),AG28),"")</f>
        <v>• Date of appointment</v>
      </c>
      <c r="AL28" t="s">
        <v>495</v>
      </c>
      <c r="AM28" s="492"/>
      <c r="AN28" t="str">
        <f t="shared" si="80"/>
        <v>Certificate profiles are documented</v>
      </c>
      <c r="AO28" t="str">
        <f t="shared" si="81"/>
        <v>Guidance</v>
      </c>
      <c r="AP28" t="str">
        <f t="shared" si="82"/>
        <v>2.2.1.GX</v>
      </c>
      <c r="AQ28" t="str">
        <f>IF(AND(AM28&lt;&gt;"",LEFT(AM28,1)&lt;&gt;"#"),IF(LEFT(AM28,1)="-",REPLACE(AM28,1,1,tech!$H$2),AM28),"")</f>
        <v/>
      </c>
      <c r="AR28" t="s">
        <v>495</v>
      </c>
      <c r="AS28" s="492" t="s">
        <v>919</v>
      </c>
      <c r="AT28" t="str">
        <f t="shared" si="83"/>
        <v>Network and deployment infrastructure is documented</v>
      </c>
      <c r="AU28" t="str">
        <f t="shared" si="84"/>
        <v>Guidance</v>
      </c>
      <c r="AV28" t="str">
        <f t="shared" si="85"/>
        <v>2.3.1.GY</v>
      </c>
      <c r="AW28" t="str">
        <f>IF(AND(AS28&lt;&gt;"",LEFT(AS28,1)&lt;&gt;"#"),IF(LEFT(AS28,1)="-",REPLACE(AS28,1,1,tech!$H$2),AS28),"")</f>
        <v>• network topology and diagram</v>
      </c>
      <c r="AX28" t="s">
        <v>495</v>
      </c>
      <c r="AY28" s="492" t="s">
        <v>981</v>
      </c>
      <c r="AZ28" t="str">
        <f t="shared" si="86"/>
        <v>The policy for change management and agility is documented</v>
      </c>
      <c r="BA28" t="str">
        <f t="shared" si="87"/>
        <v>Guidance</v>
      </c>
      <c r="BB28" t="str">
        <f t="shared" si="88"/>
        <v>2.4.1.GY</v>
      </c>
      <c r="BC28" t="str">
        <f>IF(AND(AY28&lt;&gt;"",LEFT(AY28,1)&lt;&gt;"#"),IF(LEFT(AY28,1)="-",REPLACE(AY28,1,1,tech!$H$2),AY28),"")</f>
        <v>• roles and responsibilities</v>
      </c>
      <c r="BD28" t="s">
        <v>495</v>
      </c>
      <c r="BE28" s="492" t="s">
        <v>1049</v>
      </c>
      <c r="BF28" t="str">
        <f t="shared" si="89"/>
        <v>Risk assessment and business impact analysis</v>
      </c>
      <c r="BG28" t="str">
        <f t="shared" si="90"/>
        <v>Assessment</v>
      </c>
      <c r="BH28" t="str">
        <f t="shared" si="91"/>
        <v>3.1.1.AY</v>
      </c>
      <c r="BI28" t="str">
        <f>IF(AND(BE28&lt;&gt;"",LEFT(BE28,1)&lt;&gt;"#"),IF(LEFT(BE28,1)="-",REPLACE(BE28,1,1,tech!$H$2),BE28),"")</f>
        <v>• Risk management and assessment process</v>
      </c>
      <c r="BJ28" t="s">
        <v>495</v>
      </c>
      <c r="BK28" s="492" t="s">
        <v>1114</v>
      </c>
      <c r="BL28" t="str">
        <f t="shared" si="92"/>
        <v>Maintain PKI interoperability strategy</v>
      </c>
      <c r="BM28" t="str">
        <f t="shared" si="93"/>
        <v>Guidance</v>
      </c>
      <c r="BN28" t="str">
        <f t="shared" si="94"/>
        <v>3.2.1.GY</v>
      </c>
      <c r="BO28" t="str">
        <f>IF(AND(BK28&lt;&gt;"",LEFT(BK28,1)&lt;&gt;"#"),IF(LEFT(BK28,1)="-",REPLACE(BK28,1,1,tech!$H$2),BK28),"")</f>
        <v>• interoperability testing</v>
      </c>
      <c r="BP28" t="s">
        <v>495</v>
      </c>
      <c r="BQ28" s="492" t="s">
        <v>1174</v>
      </c>
      <c r="BR28" t="str">
        <f t="shared" si="95"/>
        <v>Monitoring events and logging requirements are defined and documented</v>
      </c>
      <c r="BS28" t="str">
        <f t="shared" si="96"/>
        <v>Guidance</v>
      </c>
      <c r="BT28" t="str">
        <f t="shared" si="97"/>
        <v>3.3.1.GY</v>
      </c>
      <c r="BU28" t="str">
        <f>IF(AND(BQ28&lt;&gt;"",LEFT(BQ28,1)&lt;&gt;"#"),IF(LEFT(BQ28,1)="-",REPLACE(BQ28,1,1,tech!$H$2),BQ28),"")</f>
        <v>• Audit trail requirements</v>
      </c>
      <c r="BV28" t="s">
        <v>495</v>
      </c>
      <c r="BW28" s="492" t="s">
        <v>1231</v>
      </c>
      <c r="BX28" t="str">
        <f t="shared" si="98"/>
        <v>Process automation description</v>
      </c>
      <c r="BY28" t="str">
        <f t="shared" si="99"/>
        <v>Guidance</v>
      </c>
      <c r="BZ28" t="str">
        <f t="shared" si="100"/>
        <v>3.4.1.GY</v>
      </c>
      <c r="CA28" t="str">
        <f>IF(AND(BW28&lt;&gt;"",LEFT(BW28,1)&lt;&gt;"#"),IF(LEFT(BW28,1)="-",REPLACE(BW28,1,1,tech!$H$2),BW28),"")</f>
        <v>• Monitoring and auditing requirements</v>
      </c>
      <c r="CB28" t="s">
        <v>495</v>
      </c>
      <c r="CC28" s="492" t="s">
        <v>1257</v>
      </c>
      <c r="CD28" t="str">
        <f t="shared" si="101"/>
        <v>Resources are identified and documented</v>
      </c>
      <c r="CE28" t="str">
        <f t="shared" si="102"/>
        <v>Assessment</v>
      </c>
      <c r="CF28" t="str">
        <f t="shared" si="103"/>
        <v>4.1.1.AY</v>
      </c>
      <c r="CG28" t="str">
        <f>IF(AND(CC28&lt;&gt;"",LEFT(CC28,1)&lt;&gt;"#"),IF(LEFT(CC28,1)="-",REPLACE(CC28,1,1,tech!$H$2),CC28),"")</f>
        <v>• Categorization of resources (an example can be people, processes, procedures, tools, technologies)</v>
      </c>
      <c r="CH28" t="s">
        <v>495</v>
      </c>
      <c r="CI28" s="492" t="s">
        <v>1322</v>
      </c>
      <c r="CJ28" t="str">
        <f t="shared" si="104"/>
        <v>Establish training plan</v>
      </c>
      <c r="CK28" t="str">
        <f t="shared" si="105"/>
        <v>Guidance</v>
      </c>
      <c r="CL28" t="str">
        <f t="shared" si="106"/>
        <v>4.2.1.GY</v>
      </c>
      <c r="CM28" t="str">
        <f>IF(AND(CI28&lt;&gt;"",LEFT(CI28,1)&lt;&gt;"#"),IF(LEFT(CI28,1)="-",REPLACE(CI28,1,1,tech!$H$2),CI28),"")</f>
        <v>• requirements on Training reports and records</v>
      </c>
      <c r="CN28" t="s">
        <v>495</v>
      </c>
      <c r="CO28" s="492" t="s">
        <v>1368</v>
      </c>
      <c r="CP28" t="str">
        <f t="shared" si="107"/>
        <v>Establish and maintain awareness plan</v>
      </c>
      <c r="CQ28" t="str">
        <f t="shared" si="108"/>
        <v>Guidance</v>
      </c>
      <c r="CR28" t="str">
        <f t="shared" si="109"/>
        <v>4.3.1.GY</v>
      </c>
      <c r="CS28" t="str">
        <f>IF(AND(CO28&lt;&gt;"",LEFT(CO28,1)&lt;&gt;"#"),IF(LEFT(CO28,1)="-",REPLACE(CO28,1,1,tech!$H$2),CO28),"")</f>
        <v>Every PKI participant should receive information and relevant resource in a timely manner according to the awareness plan.</v>
      </c>
      <c r="CT28" t="s">
        <v>495</v>
      </c>
    </row>
    <row r="29" spans="3:106" x14ac:dyDescent="0.25">
      <c r="C29" s="492" t="s">
        <v>459</v>
      </c>
      <c r="D29" t="str">
        <f t="shared" si="64"/>
        <v>Initial</v>
      </c>
      <c r="E29" t="str">
        <f t="shared" si="110"/>
        <v>Associated risks</v>
      </c>
      <c r="F29" t="str">
        <f>_xlfn.CONCAT(VLOOKUP(D29,tech!$A$13:$B$17,2,0),LEFT(E29,1),IF(G29="","X","Y"))</f>
        <v>1AY</v>
      </c>
      <c r="G29" t="str">
        <f>IF(IF(LEFT(C29,1)="-",C29,"")="","",REPLACE(IF(LEFT(C29,1)="-",C29,""),1,1,tech!$H$2))</f>
        <v>• no trust</v>
      </c>
      <c r="H29" t="s">
        <v>495</v>
      </c>
      <c r="I29" s="492" t="s">
        <v>521</v>
      </c>
      <c r="J29" t="str">
        <f t="shared" si="65"/>
        <v>Organizational sponsor and support</v>
      </c>
      <c r="K29" t="str">
        <f t="shared" si="66"/>
        <v>Assessment</v>
      </c>
      <c r="L29" t="str">
        <f t="shared" si="67"/>
        <v>1.1.1.AY</v>
      </c>
      <c r="M29" t="str">
        <f>IF(AND(I29&lt;&gt;"",LEFT(I29,1)&lt;&gt;"#"),IF(LEFT(I29,1)="-",REPLACE(I29,1,1,tech!$H$2),I29),"")</f>
        <v>• Documented strategy and vision</v>
      </c>
      <c r="N29" t="s">
        <v>495</v>
      </c>
      <c r="O29" s="492"/>
      <c r="P29" t="str">
        <f t="shared" si="68"/>
        <v>The scope of policies is defined and documented</v>
      </c>
      <c r="Q29" t="str">
        <f t="shared" si="69"/>
        <v>Guidance</v>
      </c>
      <c r="R29" t="str">
        <f t="shared" si="70"/>
        <v>1.2.1.GX</v>
      </c>
      <c r="S29" t="str">
        <f>IF(AND(O29&lt;&gt;"",LEFT(O29,1)&lt;&gt;"#"),IF(LEFT(O29,1)="-",REPLACE(O29,1,1,tech!$H$2),O29),"")</f>
        <v/>
      </c>
      <c r="T29" t="s">
        <v>495</v>
      </c>
      <c r="U29" s="492" t="s">
        <v>647</v>
      </c>
      <c r="V29" t="str">
        <f t="shared" si="71"/>
        <v>Compliance policies are defined, implemented, and communicated</v>
      </c>
      <c r="W29" t="str">
        <f t="shared" si="72"/>
        <v>Guidance</v>
      </c>
      <c r="X29" t="str">
        <f t="shared" si="73"/>
        <v>1.3.1.GY</v>
      </c>
      <c r="Y29" t="str">
        <f>IF(AND(U29&lt;&gt;"",LEFT(U29,1)&lt;&gt;"#"),IF(LEFT(U29,1)="-",REPLACE(U29,1,1,tech!$H$2),U29),"")</f>
        <v>• Roles and responsibilities</v>
      </c>
      <c r="Z29" t="s">
        <v>495</v>
      </c>
      <c r="AA29" s="492" t="s">
        <v>663</v>
      </c>
      <c r="AB29" t="str">
        <f t="shared" si="74"/>
        <v>Scope of processes and procedure is aligned with policies</v>
      </c>
      <c r="AC29" t="str">
        <f t="shared" si="75"/>
        <v>Assessment</v>
      </c>
      <c r="AD29" t="str">
        <f t="shared" si="76"/>
        <v>1.4.1.AY</v>
      </c>
      <c r="AE29" t="str">
        <f>IF(AND(AA29&lt;&gt;"",LEFT(AA29,1)&lt;&gt;"#"),IF(LEFT(AA29,1)="-",REPLACE(AA29,1,1,tech!$H$2),AA29),"")</f>
        <v>The following is a sample evidence and information that can be collected during the assessment:</v>
      </c>
      <c r="AF29" t="s">
        <v>495</v>
      </c>
      <c r="AG29" s="492" t="s">
        <v>737</v>
      </c>
      <c r="AH29" t="str">
        <f t="shared" si="77"/>
        <v>Key management roles and responsibilities are documented and formally assigned</v>
      </c>
      <c r="AI29" t="str">
        <f t="shared" si="78"/>
        <v>Guidance</v>
      </c>
      <c r="AJ29" t="str">
        <f t="shared" si="79"/>
        <v>2.1.1.GY</v>
      </c>
      <c r="AK29" t="str">
        <f>IF(AND(AG29&lt;&gt;"",LEFT(AG29,1)&lt;&gt;"#"),IF(LEFT(AG29,1)="-",REPLACE(AG29,1,1,tech!$H$2),AG29),"")</f>
        <v>• Confirmation of required skills</v>
      </c>
      <c r="AL29" t="s">
        <v>495</v>
      </c>
      <c r="AM29" s="492" t="s">
        <v>501</v>
      </c>
      <c r="AN29" t="str">
        <f t="shared" si="80"/>
        <v>Certificate profiles are documented</v>
      </c>
      <c r="AO29" t="str">
        <f t="shared" si="81"/>
        <v>Assessment</v>
      </c>
      <c r="AP29" t="str">
        <f t="shared" si="82"/>
        <v>2.2.1.AX</v>
      </c>
      <c r="AQ29" t="str">
        <f>IF(AND(AM29&lt;&gt;"",LEFT(AM29,1)&lt;&gt;"#"),IF(LEFT(AM29,1)="-",REPLACE(AM29,1,1,tech!$H$2),AM29),"")</f>
        <v/>
      </c>
      <c r="AR29" t="s">
        <v>495</v>
      </c>
      <c r="AS29" s="492" t="s">
        <v>920</v>
      </c>
      <c r="AT29" t="str">
        <f t="shared" si="83"/>
        <v>Network and deployment infrastructure is documented</v>
      </c>
      <c r="AU29" t="str">
        <f t="shared" si="84"/>
        <v>Guidance</v>
      </c>
      <c r="AV29" t="str">
        <f t="shared" si="85"/>
        <v>2.3.1.GY</v>
      </c>
      <c r="AW29" t="str">
        <f>IF(AND(AS29&lt;&gt;"",LEFT(AS29,1)&lt;&gt;"#"),IF(LEFT(AS29,1)="-",REPLACE(AS29,1,1,tech!$H$2),AS29),"")</f>
        <v>• Communication and open ports requirements</v>
      </c>
      <c r="AX29" t="s">
        <v>495</v>
      </c>
      <c r="AY29" s="492" t="s">
        <v>982</v>
      </c>
      <c r="AZ29" t="str">
        <f t="shared" si="86"/>
        <v>The policy for change management and agility is documented</v>
      </c>
      <c r="BA29" t="str">
        <f t="shared" si="87"/>
        <v>Guidance</v>
      </c>
      <c r="BB29" t="str">
        <f t="shared" si="88"/>
        <v>2.4.1.GY</v>
      </c>
      <c r="BC29" t="str">
        <f>IF(AND(AY29&lt;&gt;"",LEFT(AY29,1)&lt;&gt;"#"),IF(LEFT(AY29,1)="-",REPLACE(AY29,1,1,tech!$H$2),AY29),"")</f>
        <v>• requirements for change management and agility</v>
      </c>
      <c r="BD29" t="s">
        <v>495</v>
      </c>
      <c r="BE29" s="492" t="s">
        <v>1050</v>
      </c>
      <c r="BF29" t="str">
        <f t="shared" si="89"/>
        <v>Risk assessment and business impact analysis</v>
      </c>
      <c r="BG29" t="str">
        <f t="shared" si="90"/>
        <v>Assessment</v>
      </c>
      <c r="BH29" t="str">
        <f t="shared" si="91"/>
        <v>3.1.1.AY</v>
      </c>
      <c r="BI29" t="str">
        <f>IF(AND(BE29&lt;&gt;"",LEFT(BE29,1)&lt;&gt;"#"),IF(LEFT(BE29,1)="-",REPLACE(BE29,1,1,tech!$H$2),BE29),"")</f>
        <v>• Documented Risk assessment Results</v>
      </c>
      <c r="BJ29" t="s">
        <v>495</v>
      </c>
      <c r="BK29" s="492" t="s">
        <v>1115</v>
      </c>
      <c r="BL29" t="str">
        <f t="shared" si="92"/>
        <v>Maintain PKI interoperability strategy</v>
      </c>
      <c r="BM29" t="str">
        <f t="shared" si="93"/>
        <v>Guidance</v>
      </c>
      <c r="BN29" t="str">
        <f t="shared" si="94"/>
        <v>3.2.1.GY</v>
      </c>
      <c r="BO29" t="str">
        <f>IF(AND(BK29&lt;&gt;"",LEFT(BK29,1)&lt;&gt;"#"),IF(LEFT(BK29,1)="-",REPLACE(BK29,1,1,tech!$H$2),BK29),"")</f>
        <v>• requirements for migration to New technologies</v>
      </c>
      <c r="BP29" t="s">
        <v>495</v>
      </c>
      <c r="BQ29" s="492" t="s">
        <v>1175</v>
      </c>
      <c r="BR29" t="str">
        <f t="shared" si="95"/>
        <v>Monitoring events and logging requirements are defined and documented</v>
      </c>
      <c r="BS29" t="str">
        <f t="shared" si="96"/>
        <v>Guidance</v>
      </c>
      <c r="BT29" t="str">
        <f t="shared" si="97"/>
        <v>3.3.1.GY</v>
      </c>
      <c r="BU29" t="str">
        <f>IF(AND(BQ29&lt;&gt;"",LEFT(BQ29,1)&lt;&gt;"#"),IF(LEFT(BQ29,1)="-",REPLACE(BQ29,1,1,tech!$H$2),BQ29),"")</f>
        <v>• Audit log protection requirements</v>
      </c>
      <c r="BV29" t="s">
        <v>495</v>
      </c>
      <c r="BW29" s="492" t="s">
        <v>1232</v>
      </c>
      <c r="BX29" t="str">
        <f t="shared" si="98"/>
        <v>Process automation description</v>
      </c>
      <c r="BY29" t="str">
        <f t="shared" si="99"/>
        <v>Guidance</v>
      </c>
      <c r="BZ29" t="str">
        <f t="shared" si="100"/>
        <v>3.4.1.GY</v>
      </c>
      <c r="CA29" t="str">
        <f>IF(AND(BW29&lt;&gt;"",LEFT(BW29,1)&lt;&gt;"#"),IF(LEFT(BW29,1)="-",REPLACE(BW29,1,1,tech!$H$2),BW29),"")</f>
        <v>• Potential measures and controls</v>
      </c>
      <c r="CB29" t="s">
        <v>495</v>
      </c>
      <c r="CC29" s="492" t="s">
        <v>1465</v>
      </c>
      <c r="CD29" t="str">
        <f t="shared" si="101"/>
        <v>Resources are identified and documented</v>
      </c>
      <c r="CE29" t="str">
        <f t="shared" si="102"/>
        <v>Assessment</v>
      </c>
      <c r="CF29" t="str">
        <f t="shared" si="103"/>
        <v>4.1.1.AY</v>
      </c>
      <c r="CG29" t="str">
        <f>IF(AND(CC29&lt;&gt;"",LEFT(CC29,1)&lt;&gt;"#"),IF(LEFT(CC29,1)="-",REPLACE(CC29,1,1,tech!$H$2),CC29),"")</f>
        <v>• Alignment with the scope of the use-case</v>
      </c>
      <c r="CH29" t="s">
        <v>495</v>
      </c>
      <c r="CI29" s="492" t="s">
        <v>1323</v>
      </c>
      <c r="CJ29" t="str">
        <f t="shared" si="104"/>
        <v>Establish training plan</v>
      </c>
      <c r="CK29" t="str">
        <f t="shared" si="105"/>
        <v>Guidance</v>
      </c>
      <c r="CL29" t="str">
        <f t="shared" si="106"/>
        <v>4.2.1.GY</v>
      </c>
      <c r="CM29" t="str">
        <f>IF(AND(CI29&lt;&gt;"",LEFT(CI29,1)&lt;&gt;"#"),IF(LEFT(CI29,1)="-",REPLACE(CI29,1,1,tech!$H$2),CI29),"")</f>
        <v>• Training plan Review and update</v>
      </c>
      <c r="CN29" t="s">
        <v>495</v>
      </c>
      <c r="CO29" s="492"/>
      <c r="CP29" t="str">
        <f t="shared" si="107"/>
        <v>Establish and maintain awareness plan</v>
      </c>
      <c r="CQ29" t="str">
        <f t="shared" si="108"/>
        <v>Guidance</v>
      </c>
      <c r="CR29" t="str">
        <f t="shared" si="109"/>
        <v>4.3.1.GX</v>
      </c>
      <c r="CS29" t="str">
        <f>IF(AND(CO29&lt;&gt;"",LEFT(CO29,1)&lt;&gt;"#"),IF(LEFT(CO29,1)="-",REPLACE(CO29,1,1,tech!$H$2),CO29),"")</f>
        <v/>
      </c>
      <c r="CT29" t="s">
        <v>495</v>
      </c>
    </row>
    <row r="30" spans="3:106" x14ac:dyDescent="0.25">
      <c r="C30" s="492"/>
      <c r="D30" t="str">
        <f t="shared" si="64"/>
        <v>Initial</v>
      </c>
      <c r="E30" t="str">
        <f t="shared" si="110"/>
        <v>Associated risks</v>
      </c>
      <c r="F30" t="str">
        <f>_xlfn.CONCAT(VLOOKUP(D30,tech!$A$13:$B$17,2,0),LEFT(E30,1),IF(G30="","X","Y"))</f>
        <v>1AX</v>
      </c>
      <c r="G30" t="str">
        <f>IF(IF(LEFT(C30,1)="-",C30,"")="","",REPLACE(IF(LEFT(C30,1)="-",C30,""),1,1,tech!$H$2))</f>
        <v/>
      </c>
      <c r="H30" t="s">
        <v>495</v>
      </c>
      <c r="I30" s="492" t="s">
        <v>522</v>
      </c>
      <c r="J30" t="str">
        <f t="shared" si="65"/>
        <v>Organizational sponsor and support</v>
      </c>
      <c r="K30" t="str">
        <f t="shared" si="66"/>
        <v>Assessment</v>
      </c>
      <c r="L30" t="str">
        <f t="shared" si="67"/>
        <v>1.1.1.AY</v>
      </c>
      <c r="M30" t="str">
        <f>IF(AND(I30&lt;&gt;"",LEFT(I30,1)&lt;&gt;"#"),IF(LEFT(I30,1)="-",REPLACE(I30,1,1,tech!$H$2),I30),"")</f>
        <v>• Documented organizational goals and approach</v>
      </c>
      <c r="N30" t="s">
        <v>495</v>
      </c>
      <c r="O30" s="492" t="s">
        <v>501</v>
      </c>
      <c r="P30" t="str">
        <f t="shared" si="68"/>
        <v>The scope of policies is defined and documented</v>
      </c>
      <c r="Q30" t="str">
        <f t="shared" si="69"/>
        <v>Assessment</v>
      </c>
      <c r="R30" t="str">
        <f t="shared" si="70"/>
        <v>1.2.1.AX</v>
      </c>
      <c r="S30" t="str">
        <f>IF(AND(O30&lt;&gt;"",LEFT(O30,1)&lt;&gt;"#"),IF(LEFT(O30,1)="-",REPLACE(O30,1,1,tech!$H$2),O30),"")</f>
        <v/>
      </c>
      <c r="T30" t="s">
        <v>495</v>
      </c>
      <c r="U30" s="492" t="s">
        <v>1460</v>
      </c>
      <c r="V30" t="str">
        <f t="shared" si="71"/>
        <v>Compliance policies are defined, implemented, and communicated</v>
      </c>
      <c r="W30" t="str">
        <f t="shared" si="72"/>
        <v>Guidance</v>
      </c>
      <c r="X30" t="str">
        <f t="shared" si="73"/>
        <v>1.3.1.GY</v>
      </c>
      <c r="Y30" t="str">
        <f>IF(AND(U30&lt;&gt;"",LEFT(U30,1)&lt;&gt;"#"),IF(LEFT(U30,1)="-",REPLACE(U30,1,1,tech!$H$2),U30),"")</f>
        <v>• Compliance program management requirements</v>
      </c>
      <c r="Z30" t="s">
        <v>495</v>
      </c>
      <c r="AA30" s="492" t="s">
        <v>680</v>
      </c>
      <c r="AB30" t="str">
        <f t="shared" si="74"/>
        <v>Scope of processes and procedure is aligned with policies</v>
      </c>
      <c r="AC30" t="str">
        <f t="shared" si="75"/>
        <v>Assessment</v>
      </c>
      <c r="AD30" t="str">
        <f t="shared" si="76"/>
        <v>1.4.1.AY</v>
      </c>
      <c r="AE30" t="str">
        <f>IF(AND(AA30&lt;&gt;"",LEFT(AA30,1)&lt;&gt;"#"),IF(LEFT(AA30,1)="-",REPLACE(AA30,1,1,tech!$H$2),AA30),"")</f>
        <v>• Documented scope of the processes and procedures</v>
      </c>
      <c r="AF30" t="s">
        <v>495</v>
      </c>
      <c r="AG30" s="492" t="s">
        <v>738</v>
      </c>
      <c r="AH30" t="str">
        <f t="shared" si="77"/>
        <v>Key management roles and responsibilities are documented and formally assigned</v>
      </c>
      <c r="AI30" t="str">
        <f t="shared" si="78"/>
        <v>Guidance</v>
      </c>
      <c r="AJ30" t="str">
        <f t="shared" si="79"/>
        <v>2.1.1.GY</v>
      </c>
      <c r="AK30" t="str">
        <f>IF(AND(AG30&lt;&gt;"",LEFT(AG30,1)&lt;&gt;"#"),IF(LEFT(AG30,1)="-",REPLACE(AG30,1,1,tech!$H$2),AG30),"")</f>
        <v>• Acknowledgment of responsibilities</v>
      </c>
      <c r="AL30" t="s">
        <v>495</v>
      </c>
      <c r="AM30" s="492"/>
      <c r="AN30" t="str">
        <f t="shared" si="80"/>
        <v>Certificate profiles are documented</v>
      </c>
      <c r="AO30" t="str">
        <f t="shared" si="81"/>
        <v>Assessment</v>
      </c>
      <c r="AP30" t="str">
        <f t="shared" si="82"/>
        <v>2.2.1.AX</v>
      </c>
      <c r="AQ30" t="str">
        <f>IF(AND(AM30&lt;&gt;"",LEFT(AM30,1)&lt;&gt;"#"),IF(LEFT(AM30,1)="-",REPLACE(AM30,1,1,tech!$H$2),AM30),"")</f>
        <v/>
      </c>
      <c r="AR30" t="s">
        <v>495</v>
      </c>
      <c r="AS30" s="492" t="s">
        <v>921</v>
      </c>
      <c r="AT30" t="str">
        <f t="shared" si="83"/>
        <v>Network and deployment infrastructure is documented</v>
      </c>
      <c r="AU30" t="str">
        <f t="shared" si="84"/>
        <v>Guidance</v>
      </c>
      <c r="AV30" t="str">
        <f t="shared" si="85"/>
        <v>2.3.1.GY</v>
      </c>
      <c r="AW30" t="str">
        <f>IF(AND(AS30&lt;&gt;"",LEFT(AS30,1)&lt;&gt;"#"),IF(LEFT(AS30,1)="-",REPLACE(AS30,1,1,tech!$H$2),AS30),"")</f>
        <v>• Supporting cloud providers and services</v>
      </c>
      <c r="AX30" t="s">
        <v>495</v>
      </c>
      <c r="AY30" s="492" t="s">
        <v>983</v>
      </c>
      <c r="AZ30" t="str">
        <f t="shared" si="86"/>
        <v>The policy for change management and agility is documented</v>
      </c>
      <c r="BA30" t="str">
        <f t="shared" si="87"/>
        <v>Guidance</v>
      </c>
      <c r="BB30" t="str">
        <f t="shared" si="88"/>
        <v>2.4.1.GY</v>
      </c>
      <c r="BC30" t="str">
        <f>IF(AND(AY30&lt;&gt;"",LEFT(AY30,1)&lt;&gt;"#"),IF(LEFT(AY30,1)="-",REPLACE(AY30,1,1,tech!$H$2),AY30),"")</f>
        <v>• Tools and technologies used for change management</v>
      </c>
      <c r="BD30" t="s">
        <v>495</v>
      </c>
      <c r="BE30" s="492" t="s">
        <v>1051</v>
      </c>
      <c r="BF30" t="str">
        <f t="shared" si="89"/>
        <v>Risk assessment and business impact analysis</v>
      </c>
      <c r="BG30" t="str">
        <f t="shared" si="90"/>
        <v>Assessment</v>
      </c>
      <c r="BH30" t="str">
        <f t="shared" si="91"/>
        <v>3.1.1.AY</v>
      </c>
      <c r="BI30" t="str">
        <f>IF(AND(BE30&lt;&gt;"",LEFT(BE30,1)&lt;&gt;"#"),IF(LEFT(BE30,1)="-",REPLACE(BE30,1,1,tech!$H$2),BE30),"")</f>
        <v>• Documented business impact analysis Results</v>
      </c>
      <c r="BJ30" t="s">
        <v>495</v>
      </c>
      <c r="BK30" s="492" t="s">
        <v>1116</v>
      </c>
      <c r="BL30" t="str">
        <f t="shared" si="92"/>
        <v>Maintain PKI interoperability strategy</v>
      </c>
      <c r="BM30" t="str">
        <f t="shared" si="93"/>
        <v>Guidance</v>
      </c>
      <c r="BN30" t="str">
        <f t="shared" si="94"/>
        <v>3.2.1.GY</v>
      </c>
      <c r="BO30" t="str">
        <f>IF(AND(BK30&lt;&gt;"",LEFT(BK30,1)&lt;&gt;"#"),IF(LEFT(BK30,1)="-",REPLACE(BK30,1,1,tech!$H$2),BK30),"")</f>
        <v>• requirements for vendors</v>
      </c>
      <c r="BP30" t="s">
        <v>495</v>
      </c>
      <c r="BQ30" s="492" t="s">
        <v>1145</v>
      </c>
      <c r="BR30" t="str">
        <f t="shared" si="95"/>
        <v>Monitoring events and logging requirements are defined and documented</v>
      </c>
      <c r="BS30" t="str">
        <f t="shared" si="96"/>
        <v>Guidance</v>
      </c>
      <c r="BT30" t="str">
        <f t="shared" si="97"/>
        <v>3.3.1.GY</v>
      </c>
      <c r="BU30" t="str">
        <f>IF(AND(BQ30&lt;&gt;"",LEFT(BQ30,1)&lt;&gt;"#"),IF(LEFT(BQ30,1)="-",REPLACE(BQ30,1,1,tech!$H$2),BQ30),"")</f>
        <v>• Formatting and interpretation of logs (syslog, JSON, XML, CEF, etc.)</v>
      </c>
      <c r="BV30" t="s">
        <v>495</v>
      </c>
      <c r="BW30" s="492" t="s">
        <v>1233</v>
      </c>
      <c r="BX30" t="str">
        <f t="shared" si="98"/>
        <v>Process automation description</v>
      </c>
      <c r="BY30" t="str">
        <f t="shared" si="99"/>
        <v>Guidance</v>
      </c>
      <c r="BZ30" t="str">
        <f t="shared" si="100"/>
        <v>3.4.1.GY</v>
      </c>
      <c r="CA30" t="str">
        <f>IF(AND(BW30&lt;&gt;"",LEFT(BW30,1)&lt;&gt;"#"),IF(LEFT(BW30,1)="-",REPLACE(BW30,1,1,tech!$H$2),BW30),"")</f>
        <v>• Exceptions</v>
      </c>
      <c r="CB30" t="s">
        <v>495</v>
      </c>
      <c r="CC30" s="492"/>
      <c r="CD30" t="str">
        <f t="shared" si="101"/>
        <v>Resources are identified and documented</v>
      </c>
      <c r="CE30" t="str">
        <f t="shared" si="102"/>
        <v>Assessment</v>
      </c>
      <c r="CF30" t="str">
        <f t="shared" si="103"/>
        <v>4.1.1.AX</v>
      </c>
      <c r="CG30" t="str">
        <f>IF(AND(CC30&lt;&gt;"",LEFT(CC30,1)&lt;&gt;"#"),IF(LEFT(CC30,1)="-",REPLACE(CC30,1,1,tech!$H$2),CC30),"")</f>
        <v/>
      </c>
      <c r="CH30" t="s">
        <v>495</v>
      </c>
      <c r="CI30" s="492"/>
      <c r="CJ30" t="str">
        <f t="shared" si="104"/>
        <v>Establish training plan</v>
      </c>
      <c r="CK30" t="str">
        <f t="shared" si="105"/>
        <v>Guidance</v>
      </c>
      <c r="CL30" t="str">
        <f t="shared" si="106"/>
        <v>4.2.1.GY</v>
      </c>
      <c r="CM30" t="str">
        <f>IF(AND(CI30&lt;&gt;"",LEFT(CI30,1)&lt;&gt;"#"),IF(LEFT(CI30,1)="-",REPLACE(CI30,1,1,tech!$H$2),CI30),"")</f>
        <v/>
      </c>
      <c r="CN30" t="s">
        <v>495</v>
      </c>
      <c r="CO30" s="492" t="s">
        <v>501</v>
      </c>
      <c r="CP30" t="str">
        <f t="shared" si="107"/>
        <v>Establish and maintain awareness plan</v>
      </c>
      <c r="CQ30" t="str">
        <f t="shared" si="108"/>
        <v>Assessment</v>
      </c>
      <c r="CR30" t="str">
        <f t="shared" si="109"/>
        <v>4.3.1.AX</v>
      </c>
      <c r="CS30" t="str">
        <f>IF(AND(CO30&lt;&gt;"",LEFT(CO30,1)&lt;&gt;"#"),IF(LEFT(CO30,1)="-",REPLACE(CO30,1,1,tech!$H$2),CO30),"")</f>
        <v/>
      </c>
      <c r="CT30" t="s">
        <v>495</v>
      </c>
    </row>
    <row r="31" spans="3:106" x14ac:dyDescent="0.25">
      <c r="C31" s="492" t="s">
        <v>449</v>
      </c>
      <c r="D31" t="str">
        <f t="shared" si="64"/>
        <v>Basic</v>
      </c>
      <c r="E31" t="str">
        <f t="shared" si="110"/>
        <v>Associated risks</v>
      </c>
      <c r="F31" t="str">
        <f>_xlfn.CONCAT(VLOOKUP(D31,tech!$A$13:$B$17,2,0),LEFT(E31,1),IF(G31="","X","Y"))</f>
        <v>2AX</v>
      </c>
      <c r="G31" t="str">
        <f>IF(IF(LEFT(C31,1)="-",C31,"")="","",REPLACE(IF(LEFT(C31,1)="-",C31,""),1,1,tech!$H$2))</f>
        <v/>
      </c>
      <c r="H31" t="s">
        <v>495</v>
      </c>
      <c r="I31" s="492" t="s">
        <v>523</v>
      </c>
      <c r="J31" t="str">
        <f t="shared" si="65"/>
        <v>Organizational sponsor and support</v>
      </c>
      <c r="K31" t="str">
        <f t="shared" si="66"/>
        <v>Assessment</v>
      </c>
      <c r="L31" t="str">
        <f t="shared" si="67"/>
        <v>1.1.1.AY</v>
      </c>
      <c r="M31" t="str">
        <f>IF(AND(I31&lt;&gt;"",LEFT(I31,1)&lt;&gt;"#"),IF(LEFT(I31,1)="-",REPLACE(I31,1,1,tech!$H$2),I31),"")</f>
        <v>• Understanding of why the PKI is needed and what is the value for the organization</v>
      </c>
      <c r="N31" t="s">
        <v>495</v>
      </c>
      <c r="O31" s="492"/>
      <c r="P31" t="str">
        <f t="shared" si="68"/>
        <v>The scope of policies is defined and documented</v>
      </c>
      <c r="Q31" t="str">
        <f t="shared" si="69"/>
        <v>Assessment</v>
      </c>
      <c r="R31" t="str">
        <f t="shared" si="70"/>
        <v>1.2.1.AX</v>
      </c>
      <c r="S31" t="str">
        <f>IF(AND(O31&lt;&gt;"",LEFT(O31,1)&lt;&gt;"#"),IF(LEFT(O31,1)="-",REPLACE(O31,1,1,tech!$H$2),O31),"")</f>
        <v/>
      </c>
      <c r="T31" t="s">
        <v>495</v>
      </c>
      <c r="U31" s="492" t="s">
        <v>648</v>
      </c>
      <c r="V31" t="str">
        <f t="shared" si="71"/>
        <v>Compliance policies are defined, implemented, and communicated</v>
      </c>
      <c r="W31" t="str">
        <f t="shared" si="72"/>
        <v>Guidance</v>
      </c>
      <c r="X31" t="str">
        <f t="shared" si="73"/>
        <v>1.3.1.GY</v>
      </c>
      <c r="Y31" t="str">
        <f>IF(AND(U31&lt;&gt;"",LEFT(U31,1)&lt;&gt;"#"),IF(LEFT(U31,1)="-",REPLACE(U31,1,1,tech!$H$2),U31),"")</f>
        <v>• Reporting and auditing requirements</v>
      </c>
      <c r="Z31" t="s">
        <v>495</v>
      </c>
      <c r="AA31" s="492" t="s">
        <v>681</v>
      </c>
      <c r="AB31" t="str">
        <f t="shared" si="74"/>
        <v>Scope of processes and procedure is aligned with policies</v>
      </c>
      <c r="AC31" t="str">
        <f t="shared" si="75"/>
        <v>Assessment</v>
      </c>
      <c r="AD31" t="str">
        <f t="shared" si="76"/>
        <v>1.4.1.AY</v>
      </c>
      <c r="AE31" t="str">
        <f>IF(AND(AA31&lt;&gt;"",LEFT(AA31,1)&lt;&gt;"#"),IF(LEFT(AA31,1)="-",REPLACE(AA31,1,1,tech!$H$2),AA31),"")</f>
        <v>• alignment with the PKI policies and statements</v>
      </c>
      <c r="AF31" t="s">
        <v>495</v>
      </c>
      <c r="AG31" s="492"/>
      <c r="AH31" t="str">
        <f t="shared" si="77"/>
        <v>Key management roles and responsibilities are documented and formally assigned</v>
      </c>
      <c r="AI31" t="str">
        <f t="shared" si="78"/>
        <v>Guidance</v>
      </c>
      <c r="AJ31" t="str">
        <f t="shared" si="79"/>
        <v>2.1.1.GX</v>
      </c>
      <c r="AK31" t="str">
        <f>IF(AND(AG31&lt;&gt;"",LEFT(AG31,1)&lt;&gt;"#"),IF(LEFT(AG31,1)="-",REPLACE(AG31,1,1,tech!$H$2),AG31),"")</f>
        <v/>
      </c>
      <c r="AL31" t="s">
        <v>495</v>
      </c>
      <c r="AM31" s="492" t="s">
        <v>785</v>
      </c>
      <c r="AN31" t="str">
        <f t="shared" si="80"/>
        <v>Certificate profiles are documented</v>
      </c>
      <c r="AO31" t="str">
        <f t="shared" si="81"/>
        <v>Assessment</v>
      </c>
      <c r="AP31" t="str">
        <f t="shared" si="82"/>
        <v>2.2.1.AY</v>
      </c>
      <c r="AQ31" t="str">
        <f>IF(AND(AM31&lt;&gt;"",LEFT(AM31,1)&lt;&gt;"#"),IF(LEFT(AM31,1)="-",REPLACE(AM31,1,1,tech!$H$2),AM31),"")</f>
        <v>* Documented scope of applicability</v>
      </c>
      <c r="AR31" t="s">
        <v>495</v>
      </c>
      <c r="AS31" s="492" t="s">
        <v>895</v>
      </c>
      <c r="AT31" t="str">
        <f t="shared" si="83"/>
        <v>Network and deployment infrastructure is documented</v>
      </c>
      <c r="AU31" t="str">
        <f t="shared" si="84"/>
        <v>Guidance</v>
      </c>
      <c r="AV31" t="str">
        <f t="shared" si="85"/>
        <v>2.3.1.GY</v>
      </c>
      <c r="AW31" t="str">
        <f>IF(AND(AS31&lt;&gt;"",LEFT(AS31,1)&lt;&gt;"#"),IF(LEFT(AS31,1)="-",REPLACE(AS31,1,1,tech!$H$2),AS31),"")</f>
        <v>• Supporting systems and services (identity management, access control, logging, monitoring, etc.)</v>
      </c>
      <c r="AX31" t="s">
        <v>495</v>
      </c>
      <c r="AY31" s="492" t="s">
        <v>984</v>
      </c>
      <c r="AZ31" t="str">
        <f t="shared" si="86"/>
        <v>The policy for change management and agility is documented</v>
      </c>
      <c r="BA31" t="str">
        <f t="shared" si="87"/>
        <v>Guidance</v>
      </c>
      <c r="BB31" t="str">
        <f t="shared" si="88"/>
        <v>2.4.1.GY</v>
      </c>
      <c r="BC31" t="str">
        <f>IF(AND(AY31&lt;&gt;"",LEFT(AY31,1)&lt;&gt;"#"),IF(LEFT(AY31,1)="-",REPLACE(AY31,1,1,tech!$H$2),AY31),"")</f>
        <v>• and other relevant information</v>
      </c>
      <c r="BD31" t="s">
        <v>495</v>
      </c>
      <c r="BE31" s="492" t="s">
        <v>1052</v>
      </c>
      <c r="BF31" t="str">
        <f t="shared" si="89"/>
        <v>Risk assessment and business impact analysis</v>
      </c>
      <c r="BG31" t="str">
        <f t="shared" si="90"/>
        <v>Assessment</v>
      </c>
      <c r="BH31" t="str">
        <f t="shared" si="91"/>
        <v>3.1.1.AY</v>
      </c>
      <c r="BI31" t="str">
        <f>IF(AND(BE31&lt;&gt;"",LEFT(BE31,1)&lt;&gt;"#"),IF(LEFT(BE31,1)="-",REPLACE(BE31,1,1,tech!$H$2),BE31),"")</f>
        <v>• Documented recovery strategies</v>
      </c>
      <c r="BJ31" t="s">
        <v>495</v>
      </c>
      <c r="BK31" s="492" t="s">
        <v>1117</v>
      </c>
      <c r="BL31" t="str">
        <f t="shared" si="92"/>
        <v>Maintain PKI interoperability strategy</v>
      </c>
      <c r="BM31" t="str">
        <f t="shared" si="93"/>
        <v>Guidance</v>
      </c>
      <c r="BN31" t="str">
        <f t="shared" si="94"/>
        <v>3.2.1.GY</v>
      </c>
      <c r="BO31" t="str">
        <f>IF(AND(BK31&lt;&gt;"",LEFT(BK31,1)&lt;&gt;"#"),IF(LEFT(BK31,1)="-",REPLACE(BK31,1,1,tech!$H$2),BK31),"")</f>
        <v>• other relevant information</v>
      </c>
      <c r="BP31" t="s">
        <v>495</v>
      </c>
      <c r="BQ31" s="492" t="s">
        <v>1176</v>
      </c>
      <c r="BR31" t="str">
        <f t="shared" si="95"/>
        <v>Monitoring events and logging requirements are defined and documented</v>
      </c>
      <c r="BS31" t="str">
        <f t="shared" si="96"/>
        <v>Guidance</v>
      </c>
      <c r="BT31" t="str">
        <f t="shared" si="97"/>
        <v>3.3.1.GY</v>
      </c>
      <c r="BU31" t="str">
        <f>IF(AND(BQ31&lt;&gt;"",LEFT(BQ31,1)&lt;&gt;"#"),IF(LEFT(BQ31,1)="-",REPLACE(BQ31,1,1,tech!$H$2),BQ31),"")</f>
        <v>• and other relevant requirements</v>
      </c>
      <c r="BV31" t="s">
        <v>495</v>
      </c>
      <c r="BW31" s="492" t="s">
        <v>1234</v>
      </c>
      <c r="BX31" t="str">
        <f t="shared" si="98"/>
        <v>Process automation description</v>
      </c>
      <c r="BY31" t="str">
        <f t="shared" si="99"/>
        <v>Guidance</v>
      </c>
      <c r="BZ31" t="str">
        <f t="shared" si="100"/>
        <v>3.4.1.GY</v>
      </c>
      <c r="CA31" t="str">
        <f>IF(AND(BW31&lt;&gt;"",LEFT(BW31,1)&lt;&gt;"#"),IF(LEFT(BW31,1)="-",REPLACE(BW31,1,1,tech!$H$2),BW31),"")</f>
        <v>• logging and reporting</v>
      </c>
      <c r="CB31" t="s">
        <v>495</v>
      </c>
      <c r="CC31" s="492" t="s">
        <v>503</v>
      </c>
      <c r="CD31" t="str">
        <f t="shared" si="101"/>
        <v>Resources are identified and documented</v>
      </c>
      <c r="CE31" t="str">
        <f t="shared" si="102"/>
        <v>References</v>
      </c>
      <c r="CF31" t="str">
        <f t="shared" si="103"/>
        <v>4.1.1.RX</v>
      </c>
      <c r="CG31" t="str">
        <f>IF(AND(CC31&lt;&gt;"",LEFT(CC31,1)&lt;&gt;"#"),IF(LEFT(CC31,1)="-",REPLACE(CC31,1,1,tech!$H$2),CC31),"")</f>
        <v/>
      </c>
      <c r="CH31" t="s">
        <v>495</v>
      </c>
      <c r="CI31" s="492" t="s">
        <v>1293</v>
      </c>
      <c r="CJ31" t="str">
        <f t="shared" si="104"/>
        <v>Establish training plan</v>
      </c>
      <c r="CK31" t="str">
        <f t="shared" si="105"/>
        <v>Guidance</v>
      </c>
      <c r="CL31" t="str">
        <f t="shared" si="106"/>
        <v>4.2.1.GY</v>
      </c>
      <c r="CM31" t="str">
        <f>IF(AND(CI31&lt;&gt;"",LEFT(CI31,1)&lt;&gt;"#"),IF(LEFT(CI31,1)="-",REPLACE(CI31,1,1,tech!$H$2),CI31),"")</f>
        <v>There can be different methods of training, depending on the needs and requirements:</v>
      </c>
      <c r="CN31" t="s">
        <v>495</v>
      </c>
      <c r="CO31" s="492"/>
      <c r="CP31" t="str">
        <f t="shared" si="107"/>
        <v>Establish and maintain awareness plan</v>
      </c>
      <c r="CQ31" t="str">
        <f t="shared" si="108"/>
        <v>Assessment</v>
      </c>
      <c r="CR31" t="str">
        <f t="shared" si="109"/>
        <v>4.3.1.AX</v>
      </c>
      <c r="CS31" t="str">
        <f>IF(AND(CO31&lt;&gt;"",LEFT(CO31,1)&lt;&gt;"#"),IF(LEFT(CO31,1)="-",REPLACE(CO31,1,1,tech!$H$2),CO31),"")</f>
        <v/>
      </c>
      <c r="CT31" t="s">
        <v>495</v>
      </c>
    </row>
    <row r="32" spans="3:106" x14ac:dyDescent="0.25">
      <c r="C32" s="492"/>
      <c r="D32" t="str">
        <f t="shared" si="64"/>
        <v>Basic</v>
      </c>
      <c r="E32" t="str">
        <f t="shared" si="110"/>
        <v>Associated risks</v>
      </c>
      <c r="F32" t="str">
        <f>_xlfn.CONCAT(VLOOKUP(D32,tech!$A$13:$B$17,2,0),LEFT(E32,1),IF(G32="","X","Y"))</f>
        <v>2AX</v>
      </c>
      <c r="G32" t="str">
        <f>IF(IF(LEFT(C32,1)="-",C32,"")="","",REPLACE(IF(LEFT(C32,1)="-",C32,""),1,1,tech!$H$2))</f>
        <v/>
      </c>
      <c r="H32" t="s">
        <v>495</v>
      </c>
      <c r="I32" s="492" t="s">
        <v>524</v>
      </c>
      <c r="J32" t="str">
        <f t="shared" si="65"/>
        <v>Organizational sponsor and support</v>
      </c>
      <c r="K32" t="str">
        <f t="shared" si="66"/>
        <v>Assessment</v>
      </c>
      <c r="L32" t="str">
        <f t="shared" si="67"/>
        <v>1.1.1.AY</v>
      </c>
      <c r="M32" t="str">
        <f>IF(AND(I32&lt;&gt;"",LEFT(I32,1)&lt;&gt;"#"),IF(LEFT(I32,1)="-",REPLACE(I32,1,1,tech!$H$2),I32),"")</f>
        <v>• Support and sponsorship of the top management</v>
      </c>
      <c r="N32" t="s">
        <v>495</v>
      </c>
      <c r="O32" s="492" t="s">
        <v>574</v>
      </c>
      <c r="P32" t="str">
        <f t="shared" si="68"/>
        <v>The scope of policies is defined and documented</v>
      </c>
      <c r="Q32" t="str">
        <f t="shared" si="69"/>
        <v>Assessment</v>
      </c>
      <c r="R32" t="str">
        <f t="shared" si="70"/>
        <v>1.2.1.AY</v>
      </c>
      <c r="S32" t="str">
        <f>IF(AND(O32&lt;&gt;"",LEFT(O32,1)&lt;&gt;"#"),IF(LEFT(O32,1)="-",REPLACE(O32,1,1,tech!$H$2),O32),"")</f>
        <v>• the scope of policies is defined and Documented</v>
      </c>
      <c r="T32" t="s">
        <v>495</v>
      </c>
      <c r="U32" s="492" t="s">
        <v>624</v>
      </c>
      <c r="V32" t="str">
        <f t="shared" si="71"/>
        <v>Compliance policies are defined, implemented, and communicated</v>
      </c>
      <c r="W32" t="str">
        <f t="shared" si="72"/>
        <v>Guidance</v>
      </c>
      <c r="X32" t="str">
        <f t="shared" si="73"/>
        <v>1.3.1.GY</v>
      </c>
      <c r="Y32" t="str">
        <f>IF(AND(U32&lt;&gt;"",LEFT(U32,1)&lt;&gt;"#"),IF(LEFT(U32,1)="-",REPLACE(U32,1,1,tech!$H$2),U32),"")</f>
        <v>• References to relevant documents (anti-trust, anti-fraud, anti-bribery, anti-money laundering, due diligence, etc.)</v>
      </c>
      <c r="Z32" t="s">
        <v>495</v>
      </c>
      <c r="AA32" s="492" t="s">
        <v>682</v>
      </c>
      <c r="AB32" t="str">
        <f t="shared" si="74"/>
        <v>Scope of processes and procedure is aligned with policies</v>
      </c>
      <c r="AC32" t="str">
        <f t="shared" si="75"/>
        <v>Assessment</v>
      </c>
      <c r="AD32" t="str">
        <f t="shared" si="76"/>
        <v>1.4.1.AY</v>
      </c>
      <c r="AE32" t="str">
        <f>IF(AND(AA32&lt;&gt;"",LEFT(AA32,1)&lt;&gt;"#"),IF(LEFT(AA32,1)="-",REPLACE(AA32,1,1,tech!$H$2),AA32),"")</f>
        <v>• Interview with the PKI management</v>
      </c>
      <c r="AF32" t="s">
        <v>495</v>
      </c>
      <c r="AG32" s="492" t="s">
        <v>501</v>
      </c>
      <c r="AH32" t="str">
        <f t="shared" si="77"/>
        <v>Key management roles and responsibilities are documented and formally assigned</v>
      </c>
      <c r="AI32" t="str">
        <f t="shared" si="78"/>
        <v>Assessment</v>
      </c>
      <c r="AJ32" t="str">
        <f t="shared" si="79"/>
        <v>2.1.1.AX</v>
      </c>
      <c r="AK32" t="str">
        <f>IF(AND(AG32&lt;&gt;"",LEFT(AG32,1)&lt;&gt;"#"),IF(LEFT(AG32,1)="-",REPLACE(AG32,1,1,tech!$H$2),AG32),"")</f>
        <v/>
      </c>
      <c r="AL32" t="s">
        <v>495</v>
      </c>
      <c r="AM32" s="492" t="s">
        <v>786</v>
      </c>
      <c r="AN32" t="str">
        <f t="shared" si="80"/>
        <v>Certificate profiles are documented</v>
      </c>
      <c r="AO32" t="str">
        <f t="shared" si="81"/>
        <v>Assessment</v>
      </c>
      <c r="AP32" t="str">
        <f t="shared" si="82"/>
        <v>2.2.1.AY</v>
      </c>
      <c r="AQ32" t="str">
        <f>IF(AND(AM32&lt;&gt;"",LEFT(AM32,1)&lt;&gt;"#"),IF(LEFT(AM32,1)="-",REPLACE(AM32,1,1,tech!$H$2),AM32),"")</f>
        <v>* Documented and approved certificate profiles</v>
      </c>
      <c r="AR32" t="s">
        <v>495</v>
      </c>
      <c r="AS32" s="492"/>
      <c r="AT32" t="str">
        <f t="shared" si="83"/>
        <v>Network and deployment infrastructure is documented</v>
      </c>
      <c r="AU32" t="str">
        <f t="shared" si="84"/>
        <v>Guidance</v>
      </c>
      <c r="AV32" t="str">
        <f t="shared" si="85"/>
        <v>2.3.1.GX</v>
      </c>
      <c r="AW32" t="str">
        <f>IF(AND(AS32&lt;&gt;"",LEFT(AS32,1)&lt;&gt;"#"),IF(LEFT(AS32,1)="-",REPLACE(AS32,1,1,tech!$H$2),AS32),"")</f>
        <v/>
      </c>
      <c r="AX32" t="s">
        <v>495</v>
      </c>
      <c r="AY32" s="492"/>
      <c r="AZ32" t="str">
        <f t="shared" si="86"/>
        <v>The policy for change management and agility is documented</v>
      </c>
      <c r="BA32" t="str">
        <f t="shared" si="87"/>
        <v>Guidance</v>
      </c>
      <c r="BB32" t="str">
        <f t="shared" si="88"/>
        <v>2.4.1.GX</v>
      </c>
      <c r="BC32" t="str">
        <f>IF(AND(AY32&lt;&gt;"",LEFT(AY32,1)&lt;&gt;"#"),IF(LEFT(AY32,1)="-",REPLACE(AY32,1,1,tech!$H$2),AY32),"")</f>
        <v/>
      </c>
      <c r="BD32" t="s">
        <v>495</v>
      </c>
      <c r="BE32" s="492" t="s">
        <v>1053</v>
      </c>
      <c r="BF32" t="str">
        <f t="shared" si="89"/>
        <v>Risk assessment and business impact analysis</v>
      </c>
      <c r="BG32" t="str">
        <f t="shared" si="90"/>
        <v>Assessment</v>
      </c>
      <c r="BH32" t="str">
        <f t="shared" si="91"/>
        <v>3.1.1.AY</v>
      </c>
      <c r="BI32" t="str">
        <f>IF(AND(BE32&lt;&gt;"",LEFT(BE32,1)&lt;&gt;"#"),IF(LEFT(BE32,1)="-",REPLACE(BE32,1,1,tech!$H$2),BE32),"")</f>
        <v>• Understanding of the resilience and Approval of the Results</v>
      </c>
      <c r="BJ32" t="s">
        <v>495</v>
      </c>
      <c r="BK32" s="492"/>
      <c r="BL32" t="str">
        <f t="shared" si="92"/>
        <v>Maintain PKI interoperability strategy</v>
      </c>
      <c r="BM32" t="str">
        <f t="shared" si="93"/>
        <v>Guidance</v>
      </c>
      <c r="BN32" t="str">
        <f t="shared" si="94"/>
        <v>3.2.1.GX</v>
      </c>
      <c r="BO32" t="str">
        <f>IF(AND(BK32&lt;&gt;"",LEFT(BK32,1)&lt;&gt;"#"),IF(LEFT(BK32,1)="-",REPLACE(BK32,1,1,tech!$H$2),BK32),"")</f>
        <v/>
      </c>
      <c r="BP32" t="s">
        <v>495</v>
      </c>
      <c r="BQ32" s="492"/>
      <c r="BR32" t="str">
        <f t="shared" si="95"/>
        <v>Monitoring events and logging requirements are defined and documented</v>
      </c>
      <c r="BS32" t="str">
        <f t="shared" si="96"/>
        <v>Guidance</v>
      </c>
      <c r="BT32" t="str">
        <f t="shared" si="97"/>
        <v>3.3.1.GX</v>
      </c>
      <c r="BU32" t="str">
        <f>IF(AND(BQ32&lt;&gt;"",LEFT(BQ32,1)&lt;&gt;"#"),IF(LEFT(BQ32,1)="-",REPLACE(BQ32,1,1,tech!$H$2),BQ32),"")</f>
        <v/>
      </c>
      <c r="BV32" t="s">
        <v>495</v>
      </c>
      <c r="BW32" s="492" t="s">
        <v>1235</v>
      </c>
      <c r="BX32" t="str">
        <f t="shared" si="98"/>
        <v>Process automation description</v>
      </c>
      <c r="BY32" t="str">
        <f t="shared" si="99"/>
        <v>Guidance</v>
      </c>
      <c r="BZ32" t="str">
        <f t="shared" si="100"/>
        <v>3.4.1.GY</v>
      </c>
      <c r="CA32" t="str">
        <f>IF(AND(BW32&lt;&gt;"",LEFT(BW32,1)&lt;&gt;"#"),IF(LEFT(BW32,1)="-",REPLACE(BW32,1,1,tech!$H$2),BW32),"")</f>
        <v>• any other relevant information and requirements</v>
      </c>
      <c r="CB32" t="s">
        <v>495</v>
      </c>
      <c r="CC32" s="492"/>
      <c r="CD32" t="str">
        <f t="shared" si="101"/>
        <v>Resources are identified and documented</v>
      </c>
      <c r="CE32" t="str">
        <f t="shared" si="102"/>
        <v>References</v>
      </c>
      <c r="CF32" t="str">
        <f t="shared" si="103"/>
        <v>4.1.1.RX</v>
      </c>
      <c r="CG32" t="str">
        <f>IF(AND(CC32&lt;&gt;"",LEFT(CC32,1)&lt;&gt;"#"),IF(LEFT(CC32,1)="-",REPLACE(CC32,1,1,tech!$H$2),CC32),"")</f>
        <v/>
      </c>
      <c r="CH32" t="s">
        <v>495</v>
      </c>
      <c r="CI32" s="492" t="s">
        <v>1324</v>
      </c>
      <c r="CJ32" t="str">
        <f t="shared" si="104"/>
        <v>Establish training plan</v>
      </c>
      <c r="CK32" t="str">
        <f t="shared" si="105"/>
        <v>Guidance</v>
      </c>
      <c r="CL32" t="str">
        <f t="shared" si="106"/>
        <v>4.2.1.GY</v>
      </c>
      <c r="CM32" t="str">
        <f>IF(AND(CI32&lt;&gt;"",LEFT(CI32,1)&lt;&gt;"#"),IF(LEFT(CI32,1)="-",REPLACE(CI32,1,1,tech!$H$2),CI32),"")</f>
        <v>• Instructor-led Training</v>
      </c>
      <c r="CN32" t="s">
        <v>495</v>
      </c>
      <c r="CO32" s="492" t="s">
        <v>1379</v>
      </c>
      <c r="CP32" t="str">
        <f t="shared" si="107"/>
        <v>Establish and maintain awareness plan</v>
      </c>
      <c r="CQ32" t="str">
        <f t="shared" si="108"/>
        <v>Assessment</v>
      </c>
      <c r="CR32" t="str">
        <f t="shared" si="109"/>
        <v>4.3.1.AY</v>
      </c>
      <c r="CS32" t="str">
        <f>IF(AND(CO32&lt;&gt;"",LEFT(CO32,1)&lt;&gt;"#"),IF(LEFT(CO32,1)="-",REPLACE(CO32,1,1,tech!$H$2),CO32),"")</f>
        <v>• Documented awareness plan</v>
      </c>
      <c r="CT32" t="s">
        <v>495</v>
      </c>
    </row>
    <row r="33" spans="3:98" x14ac:dyDescent="0.25">
      <c r="C33" s="492" t="s">
        <v>445</v>
      </c>
      <c r="D33" t="str">
        <f t="shared" si="64"/>
        <v>Basic</v>
      </c>
      <c r="E33" t="str">
        <f t="shared" si="110"/>
        <v>Indicators</v>
      </c>
      <c r="F33" t="str">
        <f>_xlfn.CONCAT(VLOOKUP(D33,tech!$A$13:$B$17,2,0),LEFT(E33,1),IF(G33="","X","Y"))</f>
        <v>2IX</v>
      </c>
      <c r="G33" t="str">
        <f>IF(IF(LEFT(C33,1)="-",C33,"")="","",REPLACE(IF(LEFT(C33,1)="-",C33,""),1,1,tech!$H$2))</f>
        <v/>
      </c>
      <c r="H33" t="s">
        <v>495</v>
      </c>
      <c r="I33" s="492"/>
      <c r="J33" t="str">
        <f t="shared" si="65"/>
        <v>Organizational sponsor and support</v>
      </c>
      <c r="K33" t="str">
        <f t="shared" si="66"/>
        <v>Assessment</v>
      </c>
      <c r="L33" t="str">
        <f t="shared" si="67"/>
        <v>1.1.1.AX</v>
      </c>
      <c r="M33" t="str">
        <f>IF(AND(I33&lt;&gt;"",LEFT(I33,1)&lt;&gt;"#"),IF(LEFT(I33,1)="-",REPLACE(I33,1,1,tech!$H$2),I33),"")</f>
        <v/>
      </c>
      <c r="N33" t="s">
        <v>495</v>
      </c>
      <c r="O33" s="492" t="s">
        <v>575</v>
      </c>
      <c r="P33" t="str">
        <f t="shared" si="68"/>
        <v>The scope of policies is defined and documented</v>
      </c>
      <c r="Q33" t="str">
        <f t="shared" si="69"/>
        <v>Assessment</v>
      </c>
      <c r="R33" t="str">
        <f t="shared" si="70"/>
        <v>1.2.1.AY</v>
      </c>
      <c r="S33" t="str">
        <f>IF(AND(O33&lt;&gt;"",LEFT(O33,1)&lt;&gt;"#"),IF(LEFT(O33,1)="-",REPLACE(O33,1,1,tech!$H$2),O33),"")</f>
        <v>• the scope of policies is complete</v>
      </c>
      <c r="T33" t="s">
        <v>495</v>
      </c>
      <c r="U33" s="492" t="s">
        <v>1461</v>
      </c>
      <c r="V33" t="str">
        <f t="shared" si="71"/>
        <v>Compliance policies are defined, implemented, and communicated</v>
      </c>
      <c r="W33" t="str">
        <f t="shared" si="72"/>
        <v>Guidance</v>
      </c>
      <c r="X33" t="str">
        <f t="shared" si="73"/>
        <v>1.3.1.GY</v>
      </c>
      <c r="Y33" t="str">
        <f>IF(AND(U33&lt;&gt;"",LEFT(U33,1)&lt;&gt;"#"),IF(LEFT(U33,1)="-",REPLACE(U33,1,1,tech!$H$2),U33),"")</f>
        <v>• Any other relevant information that rule Compliance</v>
      </c>
      <c r="Z33" t="s">
        <v>495</v>
      </c>
      <c r="AA33" s="492"/>
      <c r="AB33" t="str">
        <f t="shared" si="74"/>
        <v>Scope of processes and procedure is aligned with policies</v>
      </c>
      <c r="AC33" t="str">
        <f t="shared" si="75"/>
        <v>Assessment</v>
      </c>
      <c r="AD33" t="str">
        <f t="shared" si="76"/>
        <v>1.4.1.AX</v>
      </c>
      <c r="AE33" t="str">
        <f>IF(AND(AA33&lt;&gt;"",LEFT(AA33,1)&lt;&gt;"#"),IF(LEFT(AA33,1)="-",REPLACE(AA33,1,1,tech!$H$2),AA33),"")</f>
        <v/>
      </c>
      <c r="AF33" t="s">
        <v>495</v>
      </c>
      <c r="AG33" s="492"/>
      <c r="AH33" t="str">
        <f t="shared" si="77"/>
        <v>Key management roles and responsibilities are documented and formally assigned</v>
      </c>
      <c r="AI33" t="str">
        <f t="shared" si="78"/>
        <v>Assessment</v>
      </c>
      <c r="AJ33" t="str">
        <f t="shared" si="79"/>
        <v>2.1.1.AX</v>
      </c>
      <c r="AK33" t="str">
        <f>IF(AND(AG33&lt;&gt;"",LEFT(AG33,1)&lt;&gt;"#"),IF(LEFT(AG33,1)="-",REPLACE(AG33,1,1,tech!$H$2),AG33),"")</f>
        <v/>
      </c>
      <c r="AL33" t="s">
        <v>495</v>
      </c>
      <c r="AM33" s="492" t="s">
        <v>787</v>
      </c>
      <c r="AN33" t="str">
        <f t="shared" si="80"/>
        <v>Certificate profiles are documented</v>
      </c>
      <c r="AO33" t="str">
        <f t="shared" si="81"/>
        <v>Assessment</v>
      </c>
      <c r="AP33" t="str">
        <f t="shared" si="82"/>
        <v>2.2.1.AY</v>
      </c>
      <c r="AQ33" t="str">
        <f>IF(AND(AM33&lt;&gt;"",LEFT(AM33,1)&lt;&gt;"#"),IF(LEFT(AM33,1)="-",REPLACE(AM33,1,1,tech!$H$2),AM33),"")</f>
        <v>* Content of the profiles is complete and unambiguous</v>
      </c>
      <c r="AR33" t="s">
        <v>495</v>
      </c>
      <c r="AS33" s="492" t="s">
        <v>501</v>
      </c>
      <c r="AT33" t="str">
        <f t="shared" si="83"/>
        <v>Network and deployment infrastructure is documented</v>
      </c>
      <c r="AU33" t="str">
        <f t="shared" si="84"/>
        <v>Assessment</v>
      </c>
      <c r="AV33" t="str">
        <f t="shared" si="85"/>
        <v>2.3.1.AX</v>
      </c>
      <c r="AW33" t="str">
        <f>IF(AND(AS33&lt;&gt;"",LEFT(AS33,1)&lt;&gt;"#"),IF(LEFT(AS33,1)="-",REPLACE(AS33,1,1,tech!$H$2),AS33),"")</f>
        <v/>
      </c>
      <c r="AX33" t="s">
        <v>495</v>
      </c>
      <c r="AY33" s="492" t="s">
        <v>501</v>
      </c>
      <c r="AZ33" t="str">
        <f t="shared" si="86"/>
        <v>The policy for change management and agility is documented</v>
      </c>
      <c r="BA33" t="str">
        <f t="shared" si="87"/>
        <v>Assessment</v>
      </c>
      <c r="BB33" t="str">
        <f t="shared" si="88"/>
        <v>2.4.1.AX</v>
      </c>
      <c r="BC33" t="str">
        <f>IF(AND(AY33&lt;&gt;"",LEFT(AY33,1)&lt;&gt;"#"),IF(LEFT(AY33,1)="-",REPLACE(AY33,1,1,tech!$H$2),AY33),"")</f>
        <v/>
      </c>
      <c r="BD33" t="s">
        <v>495</v>
      </c>
      <c r="BE33" s="492" t="s">
        <v>682</v>
      </c>
      <c r="BF33" t="str">
        <f t="shared" si="89"/>
        <v>Risk assessment and business impact analysis</v>
      </c>
      <c r="BG33" t="str">
        <f t="shared" si="90"/>
        <v>Assessment</v>
      </c>
      <c r="BH33" t="str">
        <f t="shared" si="91"/>
        <v>3.1.1.AY</v>
      </c>
      <c r="BI33" t="str">
        <f>IF(AND(BE33&lt;&gt;"",LEFT(BE33,1)&lt;&gt;"#"),IF(LEFT(BE33,1)="-",REPLACE(BE33,1,1,tech!$H$2),BE33),"")</f>
        <v>• Interview with the PKI management</v>
      </c>
      <c r="BJ33" t="s">
        <v>495</v>
      </c>
      <c r="BK33" s="492" t="s">
        <v>501</v>
      </c>
      <c r="BL33" t="str">
        <f t="shared" si="92"/>
        <v>Maintain PKI interoperability strategy</v>
      </c>
      <c r="BM33" t="str">
        <f t="shared" si="93"/>
        <v>Assessment</v>
      </c>
      <c r="BN33" t="str">
        <f t="shared" si="94"/>
        <v>3.2.1.AX</v>
      </c>
      <c r="BO33" t="str">
        <f>IF(AND(BK33&lt;&gt;"",LEFT(BK33,1)&lt;&gt;"#"),IF(LEFT(BK33,1)="-",REPLACE(BK33,1,1,tech!$H$2),BK33),"")</f>
        <v/>
      </c>
      <c r="BP33" t="s">
        <v>495</v>
      </c>
      <c r="BQ33" s="492" t="s">
        <v>501</v>
      </c>
      <c r="BR33" t="str">
        <f t="shared" si="95"/>
        <v>Monitoring events and logging requirements are defined and documented</v>
      </c>
      <c r="BS33" t="str">
        <f t="shared" si="96"/>
        <v>Assessment</v>
      </c>
      <c r="BT33" t="str">
        <f t="shared" si="97"/>
        <v>3.3.1.AX</v>
      </c>
      <c r="BU33" t="str">
        <f>IF(AND(BQ33&lt;&gt;"",LEFT(BQ33,1)&lt;&gt;"#"),IF(LEFT(BQ33,1)="-",REPLACE(BQ33,1,1,tech!$H$2),BQ33),"")</f>
        <v/>
      </c>
      <c r="BV33" t="s">
        <v>495</v>
      </c>
      <c r="BW33" s="492"/>
      <c r="BX33" t="str">
        <f t="shared" si="98"/>
        <v>Process automation description</v>
      </c>
      <c r="BY33" t="str">
        <f t="shared" si="99"/>
        <v>Guidance</v>
      </c>
      <c r="BZ33" t="str">
        <f t="shared" si="100"/>
        <v>3.4.1.GX</v>
      </c>
      <c r="CA33" t="str">
        <f>IF(AND(BW33&lt;&gt;"",LEFT(BW33,1)&lt;&gt;"#"),IF(LEFT(BW33,1)="-",REPLACE(BW33,1,1,tech!$H$2),BW33),"")</f>
        <v/>
      </c>
      <c r="CB33" t="s">
        <v>495</v>
      </c>
      <c r="CC33" s="492" t="s">
        <v>55</v>
      </c>
      <c r="CD33" t="str">
        <f t="shared" si="101"/>
        <v>Resources are identified and documented</v>
      </c>
      <c r="CE33" t="str">
        <f t="shared" si="102"/>
        <v>References</v>
      </c>
      <c r="CF33" t="str">
        <f t="shared" si="103"/>
        <v>4.1.1.RY</v>
      </c>
      <c r="CG33" t="str">
        <f>IF(AND(CC33&lt;&gt;"",LEFT(CC33,1)&lt;&gt;"#"),IF(LEFT(CC33,1)="-",REPLACE(CC33,1,1,tech!$H$2),CC33),"")</f>
        <v>N/A</v>
      </c>
      <c r="CH33" t="s">
        <v>495</v>
      </c>
      <c r="CI33" s="492" t="s">
        <v>1325</v>
      </c>
      <c r="CJ33" t="str">
        <f t="shared" si="104"/>
        <v>Establish training plan</v>
      </c>
      <c r="CK33" t="str">
        <f t="shared" si="105"/>
        <v>Guidance</v>
      </c>
      <c r="CL33" t="str">
        <f t="shared" si="106"/>
        <v>4.2.1.GY</v>
      </c>
      <c r="CM33" t="str">
        <f>IF(AND(CI33&lt;&gt;"",LEFT(CI33,1)&lt;&gt;"#"),IF(LEFT(CI33,1)="-",REPLACE(CI33,1,1,tech!$H$2),CI33),"")</f>
        <v>• internal or external webinars</v>
      </c>
      <c r="CN33" t="s">
        <v>495</v>
      </c>
      <c r="CO33" s="492" t="s">
        <v>1479</v>
      </c>
      <c r="CP33" t="str">
        <f t="shared" si="107"/>
        <v>Establish and maintain awareness plan</v>
      </c>
      <c r="CQ33" t="str">
        <f t="shared" si="108"/>
        <v>Assessment</v>
      </c>
      <c r="CR33" t="str">
        <f t="shared" si="109"/>
        <v>4.3.1.AY</v>
      </c>
      <c r="CS33" t="str">
        <f>IF(AND(CO33&lt;&gt;"",LEFT(CO33,1)&lt;&gt;"#"),IF(LEFT(CO33,1)="-",REPLACE(CO33,1,1,tech!$H$2),CO33),"")</f>
        <v>• awareness plan is up-to-date</v>
      </c>
      <c r="CT33" t="s">
        <v>495</v>
      </c>
    </row>
    <row r="34" spans="3:98" x14ac:dyDescent="0.25">
      <c r="C34" s="492"/>
      <c r="D34" t="str">
        <f t="shared" si="64"/>
        <v>Basic</v>
      </c>
      <c r="E34" t="str">
        <f t="shared" si="110"/>
        <v>Indicators</v>
      </c>
      <c r="F34" t="str">
        <f>_xlfn.CONCAT(VLOOKUP(D34,tech!$A$13:$B$17,2,0),LEFT(E34,1),IF(G34="","X","Y"))</f>
        <v>2IX</v>
      </c>
      <c r="G34" t="str">
        <f>IF(IF(LEFT(C34,1)="-",C34,"")="","",REPLACE(IF(LEFT(C34,1)="-",C34,""),1,1,tech!$H$2))</f>
        <v/>
      </c>
      <c r="H34" t="s">
        <v>495</v>
      </c>
      <c r="I34" s="492" t="s">
        <v>503</v>
      </c>
      <c r="J34" t="str">
        <f t="shared" si="65"/>
        <v>Organizational sponsor and support</v>
      </c>
      <c r="K34" t="str">
        <f t="shared" si="66"/>
        <v>References</v>
      </c>
      <c r="L34" t="str">
        <f t="shared" si="67"/>
        <v>1.1.1.RX</v>
      </c>
      <c r="M34" t="str">
        <f>IF(AND(I34&lt;&gt;"",LEFT(I34,1)&lt;&gt;"#"),IF(LEFT(I34,1)="-",REPLACE(I34,1,1,tech!$H$2),I34),"")</f>
        <v/>
      </c>
      <c r="N34" t="s">
        <v>495</v>
      </c>
      <c r="O34" s="492" t="s">
        <v>576</v>
      </c>
      <c r="P34" t="str">
        <f t="shared" si="68"/>
        <v>The scope of policies is defined and documented</v>
      </c>
      <c r="Q34" t="str">
        <f t="shared" si="69"/>
        <v>Assessment</v>
      </c>
      <c r="R34" t="str">
        <f t="shared" si="70"/>
        <v>1.2.1.AY</v>
      </c>
      <c r="S34" t="str">
        <f>IF(AND(O34&lt;&gt;"",LEFT(O34,1)&lt;&gt;"#"),IF(LEFT(O34,1)="-",REPLACE(O34,1,1,tech!$H$2),O34),"")</f>
        <v>• Interview with the management and PKI responsible personnel to confirm the scope</v>
      </c>
      <c r="T34" t="s">
        <v>495</v>
      </c>
      <c r="U34" s="492"/>
      <c r="V34" t="str">
        <f t="shared" si="71"/>
        <v>Compliance policies are defined, implemented, and communicated</v>
      </c>
      <c r="W34" t="str">
        <f t="shared" si="72"/>
        <v>Guidance</v>
      </c>
      <c r="X34" t="str">
        <f t="shared" si="73"/>
        <v>1.3.1.GX</v>
      </c>
      <c r="Y34" t="str">
        <f>IF(AND(U34&lt;&gt;"",LEFT(U34,1)&lt;&gt;"#"),IF(LEFT(U34,1)="-",REPLACE(U34,1,1,tech!$H$2),U34),"")</f>
        <v/>
      </c>
      <c r="Z34" t="s">
        <v>495</v>
      </c>
      <c r="AA34" s="492" t="s">
        <v>503</v>
      </c>
      <c r="AB34" t="str">
        <f t="shared" si="74"/>
        <v>Scope of processes and procedure is aligned with policies</v>
      </c>
      <c r="AC34" t="str">
        <f t="shared" si="75"/>
        <v>References</v>
      </c>
      <c r="AD34" t="str">
        <f t="shared" si="76"/>
        <v>1.4.1.RX</v>
      </c>
      <c r="AE34" t="str">
        <f>IF(AND(AA34&lt;&gt;"",LEFT(AA34,1)&lt;&gt;"#"),IF(LEFT(AA34,1)="-",REPLACE(AA34,1,1,tech!$H$2),AA34),"")</f>
        <v/>
      </c>
      <c r="AF34" t="s">
        <v>495</v>
      </c>
      <c r="AG34" s="492" t="s">
        <v>739</v>
      </c>
      <c r="AH34" t="str">
        <f t="shared" si="77"/>
        <v>Key management roles and responsibilities are documented and formally assigned</v>
      </c>
      <c r="AI34" t="str">
        <f t="shared" si="78"/>
        <v>Assessment</v>
      </c>
      <c r="AJ34" t="str">
        <f t="shared" si="79"/>
        <v>2.1.1.AY</v>
      </c>
      <c r="AK34" t="str">
        <f>IF(AND(AG34&lt;&gt;"",LEFT(AG34,1)&lt;&gt;"#"),IF(LEFT(AG34,1)="-",REPLACE(AG34,1,1,tech!$H$2),AG34),"")</f>
        <v>• Documented roles and responsibilities</v>
      </c>
      <c r="AL34" t="s">
        <v>495</v>
      </c>
      <c r="AM34" s="492" t="s">
        <v>788</v>
      </c>
      <c r="AN34" t="str">
        <f t="shared" si="80"/>
        <v>Certificate profiles are documented</v>
      </c>
      <c r="AO34" t="str">
        <f t="shared" si="81"/>
        <v>Assessment</v>
      </c>
      <c r="AP34" t="str">
        <f t="shared" si="82"/>
        <v>2.2.1.AY</v>
      </c>
      <c r="AQ34" t="str">
        <f>IF(AND(AM34&lt;&gt;"",LEFT(AM34,1)&lt;&gt;"#"),IF(LEFT(AM34,1)="-",REPLACE(AM34,1,1,tech!$H$2),AM34),"")</f>
        <v>* Certificate profiles are implemented in certificattion authority</v>
      </c>
      <c r="AR34" t="s">
        <v>495</v>
      </c>
      <c r="AS34" s="492"/>
      <c r="AT34" t="str">
        <f t="shared" si="83"/>
        <v>Network and deployment infrastructure is documented</v>
      </c>
      <c r="AU34" t="str">
        <f t="shared" si="84"/>
        <v>Assessment</v>
      </c>
      <c r="AV34" t="str">
        <f t="shared" si="85"/>
        <v>2.3.1.AX</v>
      </c>
      <c r="AW34" t="str">
        <f>IF(AND(AS34&lt;&gt;"",LEFT(AS34,1)&lt;&gt;"#"),IF(LEFT(AS34,1)="-",REPLACE(AS34,1,1,tech!$H$2),AS34),"")</f>
        <v/>
      </c>
      <c r="AX34" t="s">
        <v>495</v>
      </c>
      <c r="AY34" s="492"/>
      <c r="AZ34" t="str">
        <f t="shared" si="86"/>
        <v>The policy for change management and agility is documented</v>
      </c>
      <c r="BA34" t="str">
        <f t="shared" si="87"/>
        <v>Assessment</v>
      </c>
      <c r="BB34" t="str">
        <f t="shared" si="88"/>
        <v>2.4.1.AX</v>
      </c>
      <c r="BC34" t="str">
        <f>IF(AND(AY34&lt;&gt;"",LEFT(AY34,1)&lt;&gt;"#"),IF(LEFT(AY34,1)="-",REPLACE(AY34,1,1,tech!$H$2),AY34),"")</f>
        <v/>
      </c>
      <c r="BD34" t="s">
        <v>495</v>
      </c>
      <c r="BE34" s="492"/>
      <c r="BF34" t="str">
        <f t="shared" si="89"/>
        <v>Risk assessment and business impact analysis</v>
      </c>
      <c r="BG34" t="str">
        <f t="shared" si="90"/>
        <v>Assessment</v>
      </c>
      <c r="BH34" t="str">
        <f t="shared" si="91"/>
        <v>3.1.1.AX</v>
      </c>
      <c r="BI34" t="str">
        <f>IF(AND(BE34&lt;&gt;"",LEFT(BE34,1)&lt;&gt;"#"),IF(LEFT(BE34,1)="-",REPLACE(BE34,1,1,tech!$H$2),BE34),"")</f>
        <v/>
      </c>
      <c r="BJ34" t="s">
        <v>495</v>
      </c>
      <c r="BK34" s="492"/>
      <c r="BL34" t="str">
        <f t="shared" si="92"/>
        <v>Maintain PKI interoperability strategy</v>
      </c>
      <c r="BM34" t="str">
        <f t="shared" si="93"/>
        <v>Assessment</v>
      </c>
      <c r="BN34" t="str">
        <f t="shared" si="94"/>
        <v>3.2.1.AX</v>
      </c>
      <c r="BO34" t="str">
        <f>IF(AND(BK34&lt;&gt;"",LEFT(BK34,1)&lt;&gt;"#"),IF(LEFT(BK34,1)="-",REPLACE(BK34,1,1,tech!$H$2),BK34),"")</f>
        <v/>
      </c>
      <c r="BP34" t="s">
        <v>495</v>
      </c>
      <c r="BQ34" s="492"/>
      <c r="BR34" t="str">
        <f t="shared" si="95"/>
        <v>Monitoring events and logging requirements are defined and documented</v>
      </c>
      <c r="BS34" t="str">
        <f t="shared" si="96"/>
        <v>Assessment</v>
      </c>
      <c r="BT34" t="str">
        <f t="shared" si="97"/>
        <v>3.3.1.AX</v>
      </c>
      <c r="BU34" t="str">
        <f>IF(AND(BQ34&lt;&gt;"",LEFT(BQ34,1)&lt;&gt;"#"),IF(LEFT(BQ34,1)="-",REPLACE(BQ34,1,1,tech!$H$2),BQ34),"")</f>
        <v/>
      </c>
      <c r="BV34" t="s">
        <v>495</v>
      </c>
      <c r="BW34" s="492" t="s">
        <v>501</v>
      </c>
      <c r="BX34" t="str">
        <f t="shared" si="98"/>
        <v>Process automation description</v>
      </c>
      <c r="BY34" t="str">
        <f t="shared" si="99"/>
        <v>Assessment</v>
      </c>
      <c r="BZ34" t="str">
        <f t="shared" si="100"/>
        <v>3.4.1.AX</v>
      </c>
      <c r="CA34" t="str">
        <f>IF(AND(BW34&lt;&gt;"",LEFT(BW34,1)&lt;&gt;"#"),IF(LEFT(BW34,1)="-",REPLACE(BW34,1,1,tech!$H$2),BW34),"")</f>
        <v/>
      </c>
      <c r="CB34" t="s">
        <v>495</v>
      </c>
      <c r="CC34" s="492"/>
      <c r="CD34" t="str">
        <f t="shared" si="101"/>
        <v>Resources are identified and documented</v>
      </c>
      <c r="CE34" t="str">
        <f t="shared" si="102"/>
        <v>References</v>
      </c>
      <c r="CF34" t="str">
        <f t="shared" si="103"/>
        <v>4.1.1.RX</v>
      </c>
      <c r="CG34" t="str">
        <f>IF(AND(CC34&lt;&gt;"",LEFT(CC34,1)&lt;&gt;"#"),IF(LEFT(CC34,1)="-",REPLACE(CC34,1,1,tech!$H$2),CC34),"")</f>
        <v/>
      </c>
      <c r="CH34" t="s">
        <v>495</v>
      </c>
      <c r="CI34" s="492" t="s">
        <v>1326</v>
      </c>
      <c r="CJ34" t="str">
        <f t="shared" si="104"/>
        <v>Establish training plan</v>
      </c>
      <c r="CK34" t="str">
        <f t="shared" si="105"/>
        <v>Guidance</v>
      </c>
      <c r="CL34" t="str">
        <f t="shared" si="106"/>
        <v>4.2.1.GY</v>
      </c>
      <c r="CM34" t="str">
        <f>IF(AND(CI34&lt;&gt;"",LEFT(CI34,1)&lt;&gt;"#"),IF(LEFT(CI34,1)="-",REPLACE(CI34,1,1,tech!$H$2),CI34),"")</f>
        <v>• Coaching</v>
      </c>
      <c r="CN34" t="s">
        <v>495</v>
      </c>
      <c r="CO34" s="492" t="s">
        <v>1380</v>
      </c>
      <c r="CP34" t="str">
        <f t="shared" si="107"/>
        <v>Establish and maintain awareness plan</v>
      </c>
      <c r="CQ34" t="str">
        <f t="shared" si="108"/>
        <v>Assessment</v>
      </c>
      <c r="CR34" t="str">
        <f t="shared" si="109"/>
        <v>4.3.1.AY</v>
      </c>
      <c r="CS34" t="str">
        <f>IF(AND(CO34&lt;&gt;"",LEFT(CO34,1)&lt;&gt;"#"),IF(LEFT(CO34,1)="-",REPLACE(CO34,1,1,tech!$H$2),CO34),"")</f>
        <v>• Review awareness content to ensure that it is contains relevant information</v>
      </c>
      <c r="CT34" t="s">
        <v>495</v>
      </c>
    </row>
    <row r="35" spans="3:98" x14ac:dyDescent="0.25">
      <c r="C35" s="492" t="s">
        <v>450</v>
      </c>
      <c r="D35" t="str">
        <f t="shared" si="64"/>
        <v>Basic</v>
      </c>
      <c r="E35" t="str">
        <f t="shared" si="110"/>
        <v>Indicators</v>
      </c>
      <c r="F35" t="str">
        <f>_xlfn.CONCAT(VLOOKUP(D35,tech!$A$13:$B$17,2,0),LEFT(E35,1),IF(G35="","X","Y"))</f>
        <v>2IY</v>
      </c>
      <c r="G35" t="str">
        <f>IF(IF(LEFT(C35,1)="-",C35,"")="","",REPLACE(IF(LEFT(C35,1)="-",C35,""),1,1,tech!$H$2))</f>
        <v>• PKI is ad-hoc managed, often reactive</v>
      </c>
      <c r="H35" t="s">
        <v>495</v>
      </c>
      <c r="I35" s="492"/>
      <c r="J35" t="str">
        <f t="shared" si="65"/>
        <v>Organizational sponsor and support</v>
      </c>
      <c r="K35" t="str">
        <f t="shared" si="66"/>
        <v>References</v>
      </c>
      <c r="L35" t="str">
        <f t="shared" si="67"/>
        <v>1.1.1.RX</v>
      </c>
      <c r="M35" t="str">
        <f>IF(AND(I35&lt;&gt;"",LEFT(I35,1)&lt;&gt;"#"),IF(LEFT(I35,1)="-",REPLACE(I35,1,1,tech!$H$2),I35),"")</f>
        <v/>
      </c>
      <c r="N35" t="s">
        <v>495</v>
      </c>
      <c r="O35" s="492"/>
      <c r="P35" t="str">
        <f t="shared" si="68"/>
        <v>The scope of policies is defined and documented</v>
      </c>
      <c r="Q35" t="str">
        <f t="shared" si="69"/>
        <v>Assessment</v>
      </c>
      <c r="R35" t="str">
        <f t="shared" si="70"/>
        <v>1.2.1.AX</v>
      </c>
      <c r="S35" t="str">
        <f>IF(AND(O35&lt;&gt;"",LEFT(O35,1)&lt;&gt;"#"),IF(LEFT(O35,1)="-",REPLACE(O35,1,1,tech!$H$2),O35),"")</f>
        <v/>
      </c>
      <c r="T35" t="s">
        <v>495</v>
      </c>
      <c r="U35" s="492" t="s">
        <v>501</v>
      </c>
      <c r="V35" t="str">
        <f t="shared" si="71"/>
        <v>Compliance policies are defined, implemented, and communicated</v>
      </c>
      <c r="W35" t="str">
        <f t="shared" si="72"/>
        <v>Assessment</v>
      </c>
      <c r="X35" t="str">
        <f t="shared" si="73"/>
        <v>1.3.1.AX</v>
      </c>
      <c r="Y35" t="str">
        <f>IF(AND(U35&lt;&gt;"",LEFT(U35,1)&lt;&gt;"#"),IF(LEFT(U35,1)="-",REPLACE(U35,1,1,tech!$H$2),U35),"")</f>
        <v/>
      </c>
      <c r="Z35" t="s">
        <v>495</v>
      </c>
      <c r="AA35" s="492"/>
      <c r="AB35" t="str">
        <f t="shared" si="74"/>
        <v>Scope of processes and procedure is aligned with policies</v>
      </c>
      <c r="AC35" t="str">
        <f t="shared" si="75"/>
        <v>References</v>
      </c>
      <c r="AD35" t="str">
        <f t="shared" si="76"/>
        <v>1.4.1.RX</v>
      </c>
      <c r="AE35" t="str">
        <f>IF(AND(AA35&lt;&gt;"",LEFT(AA35,1)&lt;&gt;"#"),IF(LEFT(AA35,1)="-",REPLACE(AA35,1,1,tech!$H$2),AA35),"")</f>
        <v/>
      </c>
      <c r="AF35" t="s">
        <v>495</v>
      </c>
      <c r="AG35" s="492" t="s">
        <v>740</v>
      </c>
      <c r="AH35" t="str">
        <f t="shared" si="77"/>
        <v>Key management roles and responsibilities are documented and formally assigned</v>
      </c>
      <c r="AI35" t="str">
        <f t="shared" si="78"/>
        <v>Assessment</v>
      </c>
      <c r="AJ35" t="str">
        <f t="shared" si="79"/>
        <v>2.1.1.AY</v>
      </c>
      <c r="AK35" t="str">
        <f>IF(AND(AG35&lt;&gt;"",LEFT(AG35,1)&lt;&gt;"#"),IF(LEFT(AG35,1)="-",REPLACE(AG35,1,1,tech!$H$2),AG35),"")</f>
        <v>• Signed naming protocol of personnel to Role(s)</v>
      </c>
      <c r="AL35" t="s">
        <v>495</v>
      </c>
      <c r="AM35" s="492" t="s">
        <v>789</v>
      </c>
      <c r="AN35" t="str">
        <f t="shared" si="80"/>
        <v>Certificate profiles are documented</v>
      </c>
      <c r="AO35" t="str">
        <f t="shared" si="81"/>
        <v>Assessment</v>
      </c>
      <c r="AP35" t="str">
        <f t="shared" si="82"/>
        <v>2.2.1.AY</v>
      </c>
      <c r="AQ35" t="str">
        <f>IF(AND(AM35&lt;&gt;"",LEFT(AM35,1)&lt;&gt;"#"),IF(LEFT(AM35,1)="-",REPLACE(AM35,1,1,tech!$H$2),AM35),"")</f>
        <v>* Certificate profiles are enforced by certification authority</v>
      </c>
      <c r="AR35" t="s">
        <v>495</v>
      </c>
      <c r="AS35" s="492" t="s">
        <v>502</v>
      </c>
      <c r="AT35" t="str">
        <f t="shared" si="83"/>
        <v>Network and deployment infrastructure is documented</v>
      </c>
      <c r="AU35" t="str">
        <f t="shared" si="84"/>
        <v>Assessment</v>
      </c>
      <c r="AV35" t="str">
        <f t="shared" si="85"/>
        <v>2.3.1.AY</v>
      </c>
      <c r="AW35" t="str">
        <f>IF(AND(AS35&lt;&gt;"",LEFT(AS35,1)&lt;&gt;"#"),IF(LEFT(AS35,1)="-",REPLACE(AS35,1,1,tech!$H$2),AS35),"")</f>
        <v>The following is sample evidence that can be used to assess the requirement:</v>
      </c>
      <c r="AX35" t="s">
        <v>495</v>
      </c>
      <c r="AY35" s="492" t="s">
        <v>502</v>
      </c>
      <c r="AZ35" t="str">
        <f t="shared" si="86"/>
        <v>The policy for change management and agility is documented</v>
      </c>
      <c r="BA35" t="str">
        <f t="shared" si="87"/>
        <v>Assessment</v>
      </c>
      <c r="BB35" t="str">
        <f t="shared" si="88"/>
        <v>2.4.1.AY</v>
      </c>
      <c r="BC35" t="str">
        <f>IF(AND(AY35&lt;&gt;"",LEFT(AY35,1)&lt;&gt;"#"),IF(LEFT(AY35,1)="-",REPLACE(AY35,1,1,tech!$H$2),AY35),"")</f>
        <v>The following is sample evidence that can be used to assess the requirement:</v>
      </c>
      <c r="BD35" t="s">
        <v>495</v>
      </c>
      <c r="BE35" s="492" t="s">
        <v>503</v>
      </c>
      <c r="BF35" t="str">
        <f t="shared" si="89"/>
        <v>Risk assessment and business impact analysis</v>
      </c>
      <c r="BG35" t="str">
        <f t="shared" si="90"/>
        <v>References</v>
      </c>
      <c r="BH35" t="str">
        <f t="shared" si="91"/>
        <v>3.1.1.RX</v>
      </c>
      <c r="BI35" t="str">
        <f>IF(AND(BE35&lt;&gt;"",LEFT(BE35,1)&lt;&gt;"#"),IF(LEFT(BE35,1)="-",REPLACE(BE35,1,1,tech!$H$2),BE35),"")</f>
        <v/>
      </c>
      <c r="BJ35" t="s">
        <v>495</v>
      </c>
      <c r="BK35" s="492" t="s">
        <v>1095</v>
      </c>
      <c r="BL35" t="str">
        <f t="shared" si="92"/>
        <v>Maintain PKI interoperability strategy</v>
      </c>
      <c r="BM35" t="str">
        <f t="shared" si="93"/>
        <v>Assessment</v>
      </c>
      <c r="BN35" t="str">
        <f t="shared" si="94"/>
        <v>3.2.1.AY</v>
      </c>
      <c r="BO35" t="str">
        <f>IF(AND(BK35&lt;&gt;"",LEFT(BK35,1)&lt;&gt;"#"),IF(LEFT(BK35,1)="-",REPLACE(BK35,1,1,tech!$H$2),BK35),"")</f>
        <v>The following evidence should be available for the assessment of the requirement:</v>
      </c>
      <c r="BP35" t="s">
        <v>495</v>
      </c>
      <c r="BQ35" s="492" t="s">
        <v>1177</v>
      </c>
      <c r="BR35" t="str">
        <f t="shared" si="95"/>
        <v>Monitoring events and logging requirements are defined and documented</v>
      </c>
      <c r="BS35" t="str">
        <f t="shared" si="96"/>
        <v>Assessment</v>
      </c>
      <c r="BT35" t="str">
        <f t="shared" si="97"/>
        <v>3.3.1.AY</v>
      </c>
      <c r="BU35" t="str">
        <f>IF(AND(BQ35&lt;&gt;"",LEFT(BQ35,1)&lt;&gt;"#"),IF(LEFT(BQ35,1)="-",REPLACE(BQ35,1,1,tech!$H$2),BQ35),"")</f>
        <v>• Documented Monitoring and logging requirements</v>
      </c>
      <c r="BV35" t="s">
        <v>495</v>
      </c>
      <c r="BW35" s="492"/>
      <c r="BX35" t="str">
        <f t="shared" si="98"/>
        <v>Process automation description</v>
      </c>
      <c r="BY35" t="str">
        <f t="shared" si="99"/>
        <v>Assessment</v>
      </c>
      <c r="BZ35" t="str">
        <f t="shared" si="100"/>
        <v>3.4.1.AX</v>
      </c>
      <c r="CA35" t="str">
        <f>IF(AND(BW35&lt;&gt;"",LEFT(BW35,1)&lt;&gt;"#"),IF(LEFT(BW35,1)="-",REPLACE(BW35,1,1,tech!$H$2),BW35),"")</f>
        <v/>
      </c>
      <c r="CB35" t="s">
        <v>495</v>
      </c>
      <c r="CC35" s="492" t="s">
        <v>1258</v>
      </c>
      <c r="CD35" t="str">
        <f t="shared" si="101"/>
        <v>Resources are clearly defined</v>
      </c>
      <c r="CE35" t="str">
        <f t="shared" si="102"/>
        <v>References</v>
      </c>
      <c r="CF35" t="str">
        <f t="shared" si="103"/>
        <v>4.1.2.RX</v>
      </c>
      <c r="CG35" t="str">
        <f>IF(AND(CC35&lt;&gt;"",LEFT(CC35,1)&lt;&gt;"#"),IF(LEFT(CC35,1)="-",REPLACE(CC35,1,1,tech!$H$2),CC35),"")</f>
        <v/>
      </c>
      <c r="CH35" t="s">
        <v>495</v>
      </c>
      <c r="CI35" s="492" t="s">
        <v>1327</v>
      </c>
      <c r="CJ35" t="str">
        <f t="shared" si="104"/>
        <v>Establish training plan</v>
      </c>
      <c r="CK35" t="str">
        <f t="shared" si="105"/>
        <v>Guidance</v>
      </c>
      <c r="CL35" t="str">
        <f t="shared" si="106"/>
        <v>4.2.1.GY</v>
      </c>
      <c r="CM35" t="str">
        <f>IF(AND(CI35&lt;&gt;"",LEFT(CI35,1)&lt;&gt;"#"),IF(LEFT(CI35,1)="-",REPLACE(CI35,1,1,tech!$H$2),CI35),"")</f>
        <v>• Self-paced Training</v>
      </c>
      <c r="CN35" t="s">
        <v>495</v>
      </c>
      <c r="CO35" s="492" t="s">
        <v>1381</v>
      </c>
      <c r="CP35" t="str">
        <f t="shared" si="107"/>
        <v>Establish and maintain awareness plan</v>
      </c>
      <c r="CQ35" t="str">
        <f t="shared" si="108"/>
        <v>Assessment</v>
      </c>
      <c r="CR35" t="str">
        <f t="shared" si="109"/>
        <v>4.3.1.AY</v>
      </c>
      <c r="CS35" t="str">
        <f>IF(AND(CO35&lt;&gt;"",LEFT(CO35,1)&lt;&gt;"#"),IF(LEFT(CO35,1)="-",REPLACE(CO35,1,1,tech!$H$2),CO35),"")</f>
        <v>• awareness plan is approved and communicated to all PKI participants</v>
      </c>
      <c r="CT35" t="s">
        <v>495</v>
      </c>
    </row>
    <row r="36" spans="3:98" x14ac:dyDescent="0.25">
      <c r="C36" s="492" t="s">
        <v>460</v>
      </c>
      <c r="D36" t="str">
        <f t="shared" si="64"/>
        <v>Basic</v>
      </c>
      <c r="E36" t="str">
        <f t="shared" si="110"/>
        <v>Indicators</v>
      </c>
      <c r="F36" t="str">
        <f>_xlfn.CONCAT(VLOOKUP(D36,tech!$A$13:$B$17,2,0),LEFT(E36,1),IF(G36="","X","Y"))</f>
        <v>2IY</v>
      </c>
      <c r="G36" t="str">
        <f>IF(IF(LEFT(C36,1)="-",C36,"")="","",REPLACE(IF(LEFT(C36,1)="-",C36,""),1,1,tech!$H$2))</f>
        <v>• There are defined processes and procedures which are followed</v>
      </c>
      <c r="H36" t="s">
        <v>495</v>
      </c>
      <c r="I36" s="492" t="s">
        <v>504</v>
      </c>
      <c r="J36" t="str">
        <f t="shared" si="65"/>
        <v>Organizational sponsor and support</v>
      </c>
      <c r="K36" t="str">
        <f t="shared" si="66"/>
        <v>References</v>
      </c>
      <c r="L36" t="str">
        <f t="shared" si="67"/>
        <v>1.1.1.RY</v>
      </c>
      <c r="M36" t="str">
        <f>IF(AND(I36&lt;&gt;"",LEFT(I36,1)&lt;&gt;"#"),IF(LEFT(I36,1)="-",REPLACE(I36,1,1,tech!$H$2),I36),"")</f>
        <v>• [ISO/IEC 27001 - Information security management systems](https://www.iso.org/standard/54534.html)</v>
      </c>
      <c r="N36" t="s">
        <v>495</v>
      </c>
      <c r="O36" s="492" t="s">
        <v>503</v>
      </c>
      <c r="P36" t="str">
        <f t="shared" si="68"/>
        <v>The scope of policies is defined and documented</v>
      </c>
      <c r="Q36" t="str">
        <f t="shared" si="69"/>
        <v>References</v>
      </c>
      <c r="R36" t="str">
        <f t="shared" si="70"/>
        <v>1.2.1.RX</v>
      </c>
      <c r="S36" t="str">
        <f>IF(AND(O36&lt;&gt;"",LEFT(O36,1)&lt;&gt;"#"),IF(LEFT(O36,1)="-",REPLACE(O36,1,1,tech!$H$2),O36),"")</f>
        <v/>
      </c>
      <c r="T36" t="s">
        <v>495</v>
      </c>
      <c r="U36" s="492"/>
      <c r="V36" t="str">
        <f t="shared" si="71"/>
        <v>Compliance policies are defined, implemented, and communicated</v>
      </c>
      <c r="W36" t="str">
        <f t="shared" si="72"/>
        <v>Assessment</v>
      </c>
      <c r="X36" t="str">
        <f t="shared" si="73"/>
        <v>1.3.1.AX</v>
      </c>
      <c r="Y36" t="str">
        <f>IF(AND(U36&lt;&gt;"",LEFT(U36,1)&lt;&gt;"#"),IF(LEFT(U36,1)="-",REPLACE(U36,1,1,tech!$H$2),U36),"")</f>
        <v/>
      </c>
      <c r="Z36" t="s">
        <v>495</v>
      </c>
      <c r="AA36" s="492" t="s">
        <v>551</v>
      </c>
      <c r="AB36" t="str">
        <f t="shared" si="74"/>
        <v>Scope of processes and procedure is aligned with policies</v>
      </c>
      <c r="AC36" t="str">
        <f t="shared" si="75"/>
        <v>References</v>
      </c>
      <c r="AD36" t="str">
        <f t="shared" si="76"/>
        <v>1.4.1.RY</v>
      </c>
      <c r="AE36" t="str">
        <f>IF(AND(AA36&lt;&gt;"",LEFT(AA36,1)&lt;&gt;"#"),IF(LEFT(AA36,1)="-",REPLACE(AA36,1,1,tech!$H$2),AA36),"")</f>
        <v>• [RFC 3647 - Internet X.509 Public Key Infrastructure Certificate Policy and Certification Practices Framework](https://tools.ietf.org/html/rfc3647)</v>
      </c>
      <c r="AF36" t="s">
        <v>495</v>
      </c>
      <c r="AG36" s="492" t="s">
        <v>706</v>
      </c>
      <c r="AH36" t="str">
        <f t="shared" si="77"/>
        <v>Key management roles and responsibilities are documented and formally assigned</v>
      </c>
      <c r="AI36" t="str">
        <f t="shared" si="78"/>
        <v>Assessment</v>
      </c>
      <c r="AJ36" t="str">
        <f t="shared" si="79"/>
        <v>2.1.1.AY</v>
      </c>
      <c r="AK36" t="str">
        <f>IF(AND(AG36&lt;&gt;"",LEFT(AG36,1)&lt;&gt;"#"),IF(LEFT(AG36,1)="-",REPLACE(AG36,1,1,tech!$H$2),AG36),"")</f>
        <v>• Roles and responsibilities matrix (that may be used to cross-check if there are any conflicting roles)</v>
      </c>
      <c r="AL36" t="s">
        <v>495</v>
      </c>
      <c r="AM36" s="492" t="s">
        <v>790</v>
      </c>
      <c r="AN36" t="str">
        <f t="shared" si="80"/>
        <v>Certificate profiles are documented</v>
      </c>
      <c r="AO36" t="str">
        <f t="shared" si="81"/>
        <v>Assessment</v>
      </c>
      <c r="AP36" t="str">
        <f t="shared" si="82"/>
        <v>2.2.1.AY</v>
      </c>
      <c r="AQ36" t="str">
        <f>IF(AND(AM36&lt;&gt;"",LEFT(AM36,1)&lt;&gt;"#"),IF(LEFT(AM36,1)="-",REPLACE(AM36,1,1,tech!$H$2),AM36),"")</f>
        <v>* Certificate profiles are compatible with RFC5280, or deviations are well documented</v>
      </c>
      <c r="AR36" t="s">
        <v>495</v>
      </c>
      <c r="AS36" s="492" t="s">
        <v>919</v>
      </c>
      <c r="AT36" t="str">
        <f t="shared" si="83"/>
        <v>Network and deployment infrastructure is documented</v>
      </c>
      <c r="AU36" t="str">
        <f t="shared" si="84"/>
        <v>Assessment</v>
      </c>
      <c r="AV36" t="str">
        <f t="shared" si="85"/>
        <v>2.3.1.AY</v>
      </c>
      <c r="AW36" t="str">
        <f>IF(AND(AS36&lt;&gt;"",LEFT(AS36,1)&lt;&gt;"#"),IF(LEFT(AS36,1)="-",REPLACE(AS36,1,1,tech!$H$2),AS36),"")</f>
        <v>• network topology and diagram</v>
      </c>
      <c r="AX36" t="s">
        <v>495</v>
      </c>
      <c r="AY36" s="492" t="s">
        <v>985</v>
      </c>
      <c r="AZ36" t="str">
        <f t="shared" si="86"/>
        <v>The policy for change management and agility is documented</v>
      </c>
      <c r="BA36" t="str">
        <f t="shared" si="87"/>
        <v>Assessment</v>
      </c>
      <c r="BB36" t="str">
        <f t="shared" si="88"/>
        <v>2.4.1.AY</v>
      </c>
      <c r="BC36" t="str">
        <f>IF(AND(AY36&lt;&gt;"",LEFT(AY36,1)&lt;&gt;"#"),IF(LEFT(AY36,1)="-",REPLACE(AY36,1,1,tech!$H$2),AY36),"")</f>
        <v>• Documented policy for change management and agility</v>
      </c>
      <c r="BD36" t="s">
        <v>495</v>
      </c>
      <c r="BE36" s="492"/>
      <c r="BF36" t="str">
        <f t="shared" si="89"/>
        <v>Risk assessment and business impact analysis</v>
      </c>
      <c r="BG36" t="str">
        <f t="shared" si="90"/>
        <v>References</v>
      </c>
      <c r="BH36" t="str">
        <f t="shared" si="91"/>
        <v>3.1.1.RX</v>
      </c>
      <c r="BI36" t="str">
        <f>IF(AND(BE36&lt;&gt;"",LEFT(BE36,1)&lt;&gt;"#"),IF(LEFT(BE36,1)="-",REPLACE(BE36,1,1,tech!$H$2),BE36),"")</f>
        <v/>
      </c>
      <c r="BJ36" t="s">
        <v>495</v>
      </c>
      <c r="BK36" s="492" t="s">
        <v>1118</v>
      </c>
      <c r="BL36" t="str">
        <f t="shared" si="92"/>
        <v>Maintain PKI interoperability strategy</v>
      </c>
      <c r="BM36" t="str">
        <f t="shared" si="93"/>
        <v>Assessment</v>
      </c>
      <c r="BN36" t="str">
        <f t="shared" si="94"/>
        <v>3.2.1.AY</v>
      </c>
      <c r="BO36" t="str">
        <f>IF(AND(BK36&lt;&gt;"",LEFT(BK36,1)&lt;&gt;"#"),IF(LEFT(BK36,1)="-",REPLACE(BK36,1,1,tech!$H$2),BK36),"")</f>
        <v>• Documented and approved interoperability strategy</v>
      </c>
      <c r="BP36" t="s">
        <v>495</v>
      </c>
      <c r="BQ36" s="492" t="s">
        <v>1178</v>
      </c>
      <c r="BR36" t="str">
        <f t="shared" si="95"/>
        <v>Monitoring events and logging requirements are defined and documented</v>
      </c>
      <c r="BS36" t="str">
        <f t="shared" si="96"/>
        <v>Assessment</v>
      </c>
      <c r="BT36" t="str">
        <f t="shared" si="97"/>
        <v>3.3.1.AY</v>
      </c>
      <c r="BU36" t="str">
        <f>IF(AND(BQ36&lt;&gt;"",LEFT(BQ36,1)&lt;&gt;"#"),IF(LEFT(BQ36,1)="-",REPLACE(BQ36,1,1,tech!$H$2),BQ36),"")</f>
        <v>• Policies and procedures for Monitoring and logging</v>
      </c>
      <c r="BV36" t="s">
        <v>495</v>
      </c>
      <c r="BW36" s="492" t="s">
        <v>502</v>
      </c>
      <c r="BX36" t="str">
        <f t="shared" si="98"/>
        <v>Process automation description</v>
      </c>
      <c r="BY36" t="str">
        <f t="shared" si="99"/>
        <v>Assessment</v>
      </c>
      <c r="BZ36" t="str">
        <f t="shared" si="100"/>
        <v>3.4.1.AY</v>
      </c>
      <c r="CA36" t="str">
        <f>IF(AND(BW36&lt;&gt;"",LEFT(BW36,1)&lt;&gt;"#"),IF(LEFT(BW36,1)="-",REPLACE(BW36,1,1,tech!$H$2),BW36),"")</f>
        <v>The following is sample evidence that can be used to assess the requirement:</v>
      </c>
      <c r="CB36" t="s">
        <v>495</v>
      </c>
      <c r="CC36" s="492"/>
      <c r="CD36" t="str">
        <f t="shared" si="101"/>
        <v>Resources are clearly defined</v>
      </c>
      <c r="CE36" t="str">
        <f t="shared" si="102"/>
        <v>References</v>
      </c>
      <c r="CF36" t="str">
        <f t="shared" si="103"/>
        <v>4.1.2.RX</v>
      </c>
      <c r="CG36" t="str">
        <f>IF(AND(CC36&lt;&gt;"",LEFT(CC36,1)&lt;&gt;"#"),IF(LEFT(CC36,1)="-",REPLACE(CC36,1,1,tech!$H$2),CC36),"")</f>
        <v/>
      </c>
      <c r="CH36" t="s">
        <v>495</v>
      </c>
      <c r="CI36" s="492" t="s">
        <v>1328</v>
      </c>
      <c r="CJ36" t="str">
        <f t="shared" si="104"/>
        <v>Establish training plan</v>
      </c>
      <c r="CK36" t="str">
        <f t="shared" si="105"/>
        <v>Guidance</v>
      </c>
      <c r="CL36" t="str">
        <f t="shared" si="106"/>
        <v>4.2.1.GY</v>
      </c>
      <c r="CM36" t="str">
        <f>IF(AND(CI36&lt;&gt;"",LEFT(CI36,1)&lt;&gt;"#"),IF(LEFT(CI36,1)="-",REPLACE(CI36,1,1,tech!$H$2),CI36),"")</f>
        <v>• Online resources</v>
      </c>
      <c r="CN36" t="s">
        <v>495</v>
      </c>
      <c r="CO36" s="492" t="s">
        <v>1382</v>
      </c>
      <c r="CP36" t="str">
        <f t="shared" si="107"/>
        <v>Establish and maintain awareness plan</v>
      </c>
      <c r="CQ36" t="str">
        <f t="shared" si="108"/>
        <v>Assessment</v>
      </c>
      <c r="CR36" t="str">
        <f t="shared" si="109"/>
        <v>4.3.1.AY</v>
      </c>
      <c r="CS36" t="str">
        <f>IF(AND(CO36&lt;&gt;"",LEFT(CO36,1)&lt;&gt;"#"),IF(LEFT(CO36,1)="-",REPLACE(CO36,1,1,tech!$H$2),CO36),"")</f>
        <v>• awareness plan is integrated in the organization</v>
      </c>
      <c r="CT36" t="s">
        <v>495</v>
      </c>
    </row>
    <row r="37" spans="3:98" x14ac:dyDescent="0.25">
      <c r="C37" s="492" t="s">
        <v>461</v>
      </c>
      <c r="D37" t="str">
        <f t="shared" si="64"/>
        <v>Basic</v>
      </c>
      <c r="E37" t="str">
        <f t="shared" si="110"/>
        <v>Indicators</v>
      </c>
      <c r="F37" t="str">
        <f>_xlfn.CONCAT(VLOOKUP(D37,tech!$A$13:$B$17,2,0),LEFT(E37,1),IF(G37="","X","Y"))</f>
        <v>2IY</v>
      </c>
      <c r="G37" t="str">
        <f>IF(IF(LEFT(C37,1)="-",C37,"")="","",REPLACE(IF(LEFT(C37,1)="-",C37,""),1,1,tech!$H$2))</f>
        <v>• PKI is not managed according to industry standards and regulations</v>
      </c>
      <c r="H37" t="s">
        <v>495</v>
      </c>
      <c r="I37" s="492"/>
      <c r="J37" t="str">
        <f t="shared" si="65"/>
        <v>Organizational sponsor and support</v>
      </c>
      <c r="K37" t="str">
        <f t="shared" si="66"/>
        <v>References</v>
      </c>
      <c r="L37" t="str">
        <f t="shared" si="67"/>
        <v>1.1.1.RX</v>
      </c>
      <c r="M37" t="str">
        <f>IF(AND(I37&lt;&gt;"",LEFT(I37,1)&lt;&gt;"#"),IF(LEFT(I37,1)="-",REPLACE(I37,1,1,tech!$H$2),I37),"")</f>
        <v/>
      </c>
      <c r="N37" t="s">
        <v>495</v>
      </c>
      <c r="O37" s="492"/>
      <c r="P37" t="str">
        <f t="shared" si="68"/>
        <v>The scope of policies is defined and documented</v>
      </c>
      <c r="Q37" t="str">
        <f t="shared" si="69"/>
        <v>References</v>
      </c>
      <c r="R37" t="str">
        <f t="shared" si="70"/>
        <v>1.2.1.RX</v>
      </c>
      <c r="S37" t="str">
        <f>IF(AND(O37&lt;&gt;"",LEFT(O37,1)&lt;&gt;"#"),IF(LEFT(O37,1)="-",REPLACE(O37,1,1,tech!$H$2),O37),"")</f>
        <v/>
      </c>
      <c r="T37" t="s">
        <v>495</v>
      </c>
      <c r="U37" s="492" t="s">
        <v>649</v>
      </c>
      <c r="V37" t="str">
        <f t="shared" si="71"/>
        <v>Compliance policies are defined, implemented, and communicated</v>
      </c>
      <c r="W37" t="str">
        <f t="shared" si="72"/>
        <v>Assessment</v>
      </c>
      <c r="X37" t="str">
        <f t="shared" si="73"/>
        <v>1.3.1.AY</v>
      </c>
      <c r="Y37" t="str">
        <f>IF(AND(U37&lt;&gt;"",LEFT(U37,1)&lt;&gt;"#"),IF(LEFT(U37,1)="-",REPLACE(U37,1,1,tech!$H$2),U37),"")</f>
        <v>• Documented audit and accountability policies</v>
      </c>
      <c r="Z37" t="s">
        <v>495</v>
      </c>
      <c r="AA37" s="492" t="s">
        <v>504</v>
      </c>
      <c r="AB37" t="str">
        <f t="shared" si="74"/>
        <v>Scope of processes and procedure is aligned with policies</v>
      </c>
      <c r="AC37" t="str">
        <f t="shared" si="75"/>
        <v>References</v>
      </c>
      <c r="AD37" t="str">
        <f t="shared" si="76"/>
        <v>1.4.1.RY</v>
      </c>
      <c r="AE37" t="str">
        <f>IF(AND(AA37&lt;&gt;"",LEFT(AA37,1)&lt;&gt;"#"),IF(LEFT(AA37,1)="-",REPLACE(AA37,1,1,tech!$H$2),AA37),"")</f>
        <v>• [ISO/IEC 27001 - Information security management systems](https://www.iso.org/standard/54534.html)</v>
      </c>
      <c r="AF37" t="s">
        <v>495</v>
      </c>
      <c r="AG37" s="492" t="s">
        <v>741</v>
      </c>
      <c r="AH37" t="str">
        <f t="shared" si="77"/>
        <v>Key management roles and responsibilities are documented and formally assigned</v>
      </c>
      <c r="AI37" t="str">
        <f t="shared" si="78"/>
        <v>Assessment</v>
      </c>
      <c r="AJ37" t="str">
        <f t="shared" si="79"/>
        <v>2.1.1.AY</v>
      </c>
      <c r="AK37" t="str">
        <f>IF(AND(AG37&lt;&gt;"",LEFT(AG37,1)&lt;&gt;"#"),IF(LEFT(AG37,1)="-",REPLACE(AG37,1,1,tech!$H$2),AG37),"")</f>
        <v>• Validation of required knowledge and skills</v>
      </c>
      <c r="AL37" t="s">
        <v>495</v>
      </c>
      <c r="AM37" s="492" t="s">
        <v>791</v>
      </c>
      <c r="AN37" t="str">
        <f t="shared" si="80"/>
        <v>Certificate profiles are documented</v>
      </c>
      <c r="AO37" t="str">
        <f t="shared" si="81"/>
        <v>Assessment</v>
      </c>
      <c r="AP37" t="str">
        <f t="shared" si="82"/>
        <v>2.2.1.AY</v>
      </c>
      <c r="AQ37" t="str">
        <f>IF(AND(AM37&lt;&gt;"",LEFT(AM37,1)&lt;&gt;"#"),IF(LEFT(AM37,1)="-",REPLACE(AM37,1,1,tech!$H$2),AM37),"")</f>
        <v>* Profiles for CRLs and/or OCSP usage, i.e. validity periods, issuance intervals, max revocation time delay, etc</v>
      </c>
      <c r="AR37" t="s">
        <v>495</v>
      </c>
      <c r="AS37" s="492" t="s">
        <v>922</v>
      </c>
      <c r="AT37" t="str">
        <f t="shared" si="83"/>
        <v>Network and deployment infrastructure is documented</v>
      </c>
      <c r="AU37" t="str">
        <f t="shared" si="84"/>
        <v>Assessment</v>
      </c>
      <c r="AV37" t="str">
        <f t="shared" si="85"/>
        <v>2.3.1.AY</v>
      </c>
      <c r="AW37" t="str">
        <f>IF(AND(AS37&lt;&gt;"",LEFT(AS37,1)&lt;&gt;"#"),IF(LEFT(AS37,1)="-",REPLACE(AS37,1,1,tech!$H$2),AS37),"")</f>
        <v>• Deployment documentation</v>
      </c>
      <c r="AX37" t="s">
        <v>495</v>
      </c>
      <c r="AY37" s="492" t="s">
        <v>986</v>
      </c>
      <c r="AZ37" t="str">
        <f t="shared" si="86"/>
        <v>The policy for change management and agility is documented</v>
      </c>
      <c r="BA37" t="str">
        <f t="shared" si="87"/>
        <v>Assessment</v>
      </c>
      <c r="BB37" t="str">
        <f t="shared" si="88"/>
        <v>2.4.1.AY</v>
      </c>
      <c r="BC37" t="str">
        <f>IF(AND(AY37&lt;&gt;"",LEFT(AY37,1)&lt;&gt;"#"),IF(LEFT(AY37,1)="-",REPLACE(AY37,1,1,tech!$H$2),AY37),"")</f>
        <v>• Alignment with Organizational policy</v>
      </c>
      <c r="BD37" t="s">
        <v>495</v>
      </c>
      <c r="BE37" s="492" t="s">
        <v>1021</v>
      </c>
      <c r="BF37" t="str">
        <f t="shared" si="89"/>
        <v>Risk assessment and business impact analysis</v>
      </c>
      <c r="BG37" t="str">
        <f t="shared" si="90"/>
        <v>References</v>
      </c>
      <c r="BH37" t="str">
        <f t="shared" si="91"/>
        <v>3.1.1.RY</v>
      </c>
      <c r="BI37" t="str">
        <f>IF(AND(BE37&lt;&gt;"",LEFT(BE37,1)&lt;&gt;"#"),IF(LEFT(BE37,1)="-",REPLACE(BE37,1,1,tech!$H$2),BE37),"")</f>
        <v>• [ISO/IEC 27005 - Guidance on managing information security risks](https://www.iso.org/standard/80585.html)</v>
      </c>
      <c r="BJ37" t="s">
        <v>495</v>
      </c>
      <c r="BK37" s="492" t="s">
        <v>1119</v>
      </c>
      <c r="BL37" t="str">
        <f t="shared" si="92"/>
        <v>Maintain PKI interoperability strategy</v>
      </c>
      <c r="BM37" t="str">
        <f t="shared" si="93"/>
        <v>Assessment</v>
      </c>
      <c r="BN37" t="str">
        <f t="shared" si="94"/>
        <v>3.2.1.AY</v>
      </c>
      <c r="BO37" t="str">
        <f>IF(AND(BK37&lt;&gt;"",LEFT(BK37,1)&lt;&gt;"#"),IF(LEFT(BK37,1)="-",REPLACE(BK37,1,1,tech!$H$2),BK37),"")</f>
        <v>• interoperability strategy is integrated in the organization</v>
      </c>
      <c r="BP37" t="s">
        <v>495</v>
      </c>
      <c r="BQ37" s="492" t="s">
        <v>1179</v>
      </c>
      <c r="BR37" t="str">
        <f t="shared" si="95"/>
        <v>Monitoring events and logging requirements are defined and documented</v>
      </c>
      <c r="BS37" t="str">
        <f t="shared" si="96"/>
        <v>Assessment</v>
      </c>
      <c r="BT37" t="str">
        <f t="shared" si="97"/>
        <v>3.3.1.AY</v>
      </c>
      <c r="BU37" t="str">
        <f>IF(AND(BQ37&lt;&gt;"",LEFT(BQ37,1)&lt;&gt;"#"),IF(LEFT(BQ37,1)="-",REPLACE(BQ37,1,1,tech!$H$2),BQ37),"")</f>
        <v>• Review of records</v>
      </c>
      <c r="BV37" t="s">
        <v>495</v>
      </c>
      <c r="BW37" s="492" t="s">
        <v>1236</v>
      </c>
      <c r="BX37" t="str">
        <f t="shared" si="98"/>
        <v>Process automation description</v>
      </c>
      <c r="BY37" t="str">
        <f t="shared" si="99"/>
        <v>Assessment</v>
      </c>
      <c r="BZ37" t="str">
        <f t="shared" si="100"/>
        <v>3.4.1.AY</v>
      </c>
      <c r="CA37" t="str">
        <f>IF(AND(BW37&lt;&gt;"",LEFT(BW37,1)&lt;&gt;"#"),IF(LEFT(BW37,1)="-",REPLACE(BW37,1,1,tech!$H$2),BW37),"")</f>
        <v>• process automation description</v>
      </c>
      <c r="CB37" t="s">
        <v>495</v>
      </c>
      <c r="CC37" s="492" t="s">
        <v>498</v>
      </c>
      <c r="CD37" t="str">
        <f t="shared" si="101"/>
        <v>Resources are clearly defined</v>
      </c>
      <c r="CE37" t="str">
        <f t="shared" si="102"/>
        <v>Guidance</v>
      </c>
      <c r="CF37" t="str">
        <f t="shared" si="103"/>
        <v>4.1.2.GX</v>
      </c>
      <c r="CG37" t="str">
        <f>IF(AND(CC37&lt;&gt;"",LEFT(CC37,1)&lt;&gt;"#"),IF(LEFT(CC37,1)="-",REPLACE(CC37,1,1,tech!$H$2),CC37),"")</f>
        <v/>
      </c>
      <c r="CH37" t="s">
        <v>495</v>
      </c>
      <c r="CI37" s="492" t="s">
        <v>1329</v>
      </c>
      <c r="CJ37" t="str">
        <f t="shared" si="104"/>
        <v>Establish training plan</v>
      </c>
      <c r="CK37" t="str">
        <f t="shared" si="105"/>
        <v>Guidance</v>
      </c>
      <c r="CL37" t="str">
        <f t="shared" si="106"/>
        <v>4.2.1.GY</v>
      </c>
      <c r="CM37" t="str">
        <f>IF(AND(CI37&lt;&gt;"",LEFT(CI37,1)&lt;&gt;"#"),IF(LEFT(CI37,1)="-",REPLACE(CI37,1,1,tech!$H$2),CI37),"")</f>
        <v>• Shadowing or reverse-Shadowing</v>
      </c>
      <c r="CN37" t="s">
        <v>495</v>
      </c>
      <c r="CO37" s="492"/>
      <c r="CP37" t="str">
        <f t="shared" si="107"/>
        <v>Establish and maintain awareness plan</v>
      </c>
      <c r="CQ37" t="str">
        <f t="shared" si="108"/>
        <v>Assessment</v>
      </c>
      <c r="CR37" t="str">
        <f t="shared" si="109"/>
        <v>4.3.1.AX</v>
      </c>
      <c r="CS37" t="str">
        <f>IF(AND(CO37&lt;&gt;"",LEFT(CO37,1)&lt;&gt;"#"),IF(LEFT(CO37,1)="-",REPLACE(CO37,1,1,tech!$H$2),CO37),"")</f>
        <v/>
      </c>
      <c r="CT37" t="s">
        <v>495</v>
      </c>
    </row>
    <row r="38" spans="3:98" x14ac:dyDescent="0.25">
      <c r="C38" s="492" t="s">
        <v>462</v>
      </c>
      <c r="D38" t="str">
        <f t="shared" si="64"/>
        <v>Basic</v>
      </c>
      <c r="E38" t="str">
        <f t="shared" si="110"/>
        <v>Indicators</v>
      </c>
      <c r="F38" t="str">
        <f>_xlfn.CONCAT(VLOOKUP(D38,tech!$A$13:$B$17,2,0),LEFT(E38,1),IF(G38="","X","Y"))</f>
        <v>2IY</v>
      </c>
      <c r="G38" t="str">
        <f>IF(IF(LEFT(C38,1)="-",C38,"")="","",REPLACE(IF(LEFT(C38,1)="-",C38,""),1,1,tech!$H$2))</f>
        <v>• Insufficient knowledge</v>
      </c>
      <c r="H38" t="s">
        <v>495</v>
      </c>
      <c r="I38" s="492" t="s">
        <v>505</v>
      </c>
      <c r="J38" t="str">
        <f t="shared" si="65"/>
        <v>Formal assignment of responsible leadership</v>
      </c>
      <c r="K38" t="str">
        <f t="shared" si="66"/>
        <v>References</v>
      </c>
      <c r="L38" t="str">
        <f t="shared" si="67"/>
        <v>1.1.2.RX</v>
      </c>
      <c r="M38" t="str">
        <f>IF(AND(I38&lt;&gt;"",LEFT(I38,1)&lt;&gt;"#"),IF(LEFT(I38,1)="-",REPLACE(I38,1,1,tech!$H$2),I38),"")</f>
        <v/>
      </c>
      <c r="N38" t="s">
        <v>495</v>
      </c>
      <c r="O38" s="492" t="s">
        <v>551</v>
      </c>
      <c r="P38" t="str">
        <f t="shared" si="68"/>
        <v>The scope of policies is defined and documented</v>
      </c>
      <c r="Q38" t="str">
        <f t="shared" si="69"/>
        <v>References</v>
      </c>
      <c r="R38" t="str">
        <f t="shared" si="70"/>
        <v>1.2.1.RY</v>
      </c>
      <c r="S38" t="str">
        <f>IF(AND(O38&lt;&gt;"",LEFT(O38,1)&lt;&gt;"#"),IF(LEFT(O38,1)="-",REPLACE(O38,1,1,tech!$H$2),O38),"")</f>
        <v>• [RFC 3647 - Internet X.509 Public Key Infrastructure Certificate Policy and Certification Practices Framework](https://tools.ietf.org/html/rfc3647)</v>
      </c>
      <c r="T38" t="s">
        <v>495</v>
      </c>
      <c r="U38" s="492" t="s">
        <v>650</v>
      </c>
      <c r="V38" t="str">
        <f t="shared" si="71"/>
        <v>Compliance policies are defined, implemented, and communicated</v>
      </c>
      <c r="W38" t="str">
        <f t="shared" si="72"/>
        <v>Assessment</v>
      </c>
      <c r="X38" t="str">
        <f t="shared" si="73"/>
        <v>1.3.1.AY</v>
      </c>
      <c r="Y38" t="str">
        <f>IF(AND(U38&lt;&gt;"",LEFT(U38,1)&lt;&gt;"#"),IF(LEFT(U38,1)="-",REPLACE(U38,1,1,tech!$H$2),U38),"")</f>
        <v>• Documented communication plan for informing stakeholders of the policies</v>
      </c>
      <c r="Z38" t="s">
        <v>495</v>
      </c>
      <c r="AA38" s="492"/>
      <c r="AB38" t="str">
        <f t="shared" si="74"/>
        <v>Scope of processes and procedure is aligned with policies</v>
      </c>
      <c r="AC38" t="str">
        <f t="shared" si="75"/>
        <v>References</v>
      </c>
      <c r="AD38" t="str">
        <f t="shared" si="76"/>
        <v>1.4.1.RX</v>
      </c>
      <c r="AE38" t="str">
        <f>IF(AND(AA38&lt;&gt;"",LEFT(AA38,1)&lt;&gt;"#"),IF(LEFT(AA38,1)="-",REPLACE(AA38,1,1,tech!$H$2),AA38),"")</f>
        <v/>
      </c>
      <c r="AF38" t="s">
        <v>495</v>
      </c>
      <c r="AG38" s="492" t="s">
        <v>742</v>
      </c>
      <c r="AH38" t="str">
        <f t="shared" si="77"/>
        <v>Key management roles and responsibilities are documented and formally assigned</v>
      </c>
      <c r="AI38" t="str">
        <f t="shared" si="78"/>
        <v>Assessment</v>
      </c>
      <c r="AJ38" t="str">
        <f t="shared" si="79"/>
        <v>2.1.1.AY</v>
      </c>
      <c r="AK38" t="str">
        <f>IF(AND(AG38&lt;&gt;"",LEFT(AG38,1)&lt;&gt;"#"),IF(LEFT(AG38,1)="-",REPLACE(AG38,1,1,tech!$H$2),AG38),"")</f>
        <v>• Review according to the key management policy</v>
      </c>
      <c r="AL38" t="s">
        <v>495</v>
      </c>
      <c r="AM38" s="492"/>
      <c r="AN38" t="str">
        <f t="shared" si="80"/>
        <v>Certificate profiles are documented</v>
      </c>
      <c r="AO38" t="str">
        <f t="shared" si="81"/>
        <v>Assessment</v>
      </c>
      <c r="AP38" t="str">
        <f t="shared" si="82"/>
        <v>2.2.1.AX</v>
      </c>
      <c r="AQ38" t="str">
        <f>IF(AND(AM38&lt;&gt;"",LEFT(AM38,1)&lt;&gt;"#"),IF(LEFT(AM38,1)="-",REPLACE(AM38,1,1,tech!$H$2),AM38),"")</f>
        <v/>
      </c>
      <c r="AR38" t="s">
        <v>495</v>
      </c>
      <c r="AS38" s="492" t="s">
        <v>923</v>
      </c>
      <c r="AT38" t="str">
        <f t="shared" si="83"/>
        <v>Network and deployment infrastructure is documented</v>
      </c>
      <c r="AU38" t="str">
        <f t="shared" si="84"/>
        <v>Assessment</v>
      </c>
      <c r="AV38" t="str">
        <f t="shared" si="85"/>
        <v>2.3.1.AY</v>
      </c>
      <c r="AW38" t="str">
        <f>IF(AND(AS38&lt;&gt;"",LEFT(AS38,1)&lt;&gt;"#"),IF(LEFT(AS38,1)="-",REPLACE(AS38,1,1,tech!$H$2),AS38),"")</f>
        <v>• Sample configuration of network to compare with the documentation</v>
      </c>
      <c r="AX38" t="s">
        <v>495</v>
      </c>
      <c r="AY38" s="492" t="s">
        <v>987</v>
      </c>
      <c r="AZ38" t="str">
        <f t="shared" si="86"/>
        <v>The policy for change management and agility is documented</v>
      </c>
      <c r="BA38" t="str">
        <f t="shared" si="87"/>
        <v>Assessment</v>
      </c>
      <c r="BB38" t="str">
        <f t="shared" si="88"/>
        <v>2.4.1.AY</v>
      </c>
      <c r="BC38" t="str">
        <f>IF(AND(AY38&lt;&gt;"",LEFT(AY38,1)&lt;&gt;"#"),IF(LEFT(AY38,1)="-",REPLACE(AY38,1,1,tech!$H$2),AY38),"")</f>
        <v>• Approval by the management</v>
      </c>
      <c r="BD38" t="s">
        <v>495</v>
      </c>
      <c r="BE38" s="492" t="s">
        <v>626</v>
      </c>
      <c r="BF38" t="str">
        <f t="shared" si="89"/>
        <v>Risk assessment and business impact analysis</v>
      </c>
      <c r="BG38" t="str">
        <f t="shared" si="90"/>
        <v>References</v>
      </c>
      <c r="BH38" t="str">
        <f t="shared" si="91"/>
        <v>3.1.1.RY</v>
      </c>
      <c r="BI38" t="str">
        <f>IF(AND(BE38&lt;&gt;"",LEFT(BE38,1)&lt;&gt;"#"),IF(LEFT(BE38,1)="-",REPLACE(BE38,1,1,tech!$H$2),BE38),"")</f>
        <v>• [NIST Risk Management Framework](https://csrc.nist.gov/Projects/risk-management)</v>
      </c>
      <c r="BJ38" t="s">
        <v>495</v>
      </c>
      <c r="BK38" s="492" t="s">
        <v>1120</v>
      </c>
      <c r="BL38" t="str">
        <f t="shared" si="92"/>
        <v>Maintain PKI interoperability strategy</v>
      </c>
      <c r="BM38" t="str">
        <f t="shared" si="93"/>
        <v>Assessment</v>
      </c>
      <c r="BN38" t="str">
        <f t="shared" si="94"/>
        <v>3.2.1.AY</v>
      </c>
      <c r="BO38" t="str">
        <f>IF(AND(BK38&lt;&gt;"",LEFT(BK38,1)&lt;&gt;"#"),IF(LEFT(BK38,1)="-",REPLACE(BK38,1,1,tech!$H$2),BK38),"")</f>
        <v>• Interview with the responsible person(s) to verify Understanding of the interoperability strategy</v>
      </c>
      <c r="BP38" t="s">
        <v>495</v>
      </c>
      <c r="BQ38" s="492" t="s">
        <v>1180</v>
      </c>
      <c r="BR38" t="str">
        <f t="shared" si="95"/>
        <v>Monitoring events and logging requirements are defined and documented</v>
      </c>
      <c r="BS38" t="str">
        <f t="shared" si="96"/>
        <v>Assessment</v>
      </c>
      <c r="BT38" t="str">
        <f t="shared" si="97"/>
        <v>3.3.1.AY</v>
      </c>
      <c r="BU38" t="str">
        <f>IF(AND(BQ38&lt;&gt;"",LEFT(BQ38,1)&lt;&gt;"#"),IF(LEFT(BQ38,1)="-",REPLACE(BQ38,1,1,tech!$H$2),BQ38),"")</f>
        <v>• Interviews with personnel</v>
      </c>
      <c r="BV38" t="s">
        <v>495</v>
      </c>
      <c r="BW38" s="492" t="s">
        <v>1237</v>
      </c>
      <c r="BX38" t="str">
        <f t="shared" si="98"/>
        <v>Process automation description</v>
      </c>
      <c r="BY38" t="str">
        <f t="shared" si="99"/>
        <v>Assessment</v>
      </c>
      <c r="BZ38" t="str">
        <f t="shared" si="100"/>
        <v>3.4.1.AY</v>
      </c>
      <c r="CA38" t="str">
        <f>IF(AND(BW38&lt;&gt;"",LEFT(BW38,1)&lt;&gt;"#"),IF(LEFT(BW38,1)="-",REPLACE(BW38,1,1,tech!$H$2),BW38),"")</f>
        <v>• Interview with the process owner</v>
      </c>
      <c r="CB38" t="s">
        <v>495</v>
      </c>
      <c r="CC38" s="492"/>
      <c r="CD38" t="str">
        <f t="shared" si="101"/>
        <v>Resources are clearly defined</v>
      </c>
      <c r="CE38" t="str">
        <f t="shared" si="102"/>
        <v>Guidance</v>
      </c>
      <c r="CF38" t="str">
        <f t="shared" si="103"/>
        <v>4.1.2.GX</v>
      </c>
      <c r="CG38" t="str">
        <f>IF(AND(CC38&lt;&gt;"",LEFT(CC38,1)&lt;&gt;"#"),IF(LEFT(CC38,1)="-",REPLACE(CC38,1,1,tech!$H$2),CC38),"")</f>
        <v/>
      </c>
      <c r="CH38" t="s">
        <v>495</v>
      </c>
      <c r="CI38" s="492"/>
      <c r="CJ38" t="str">
        <f t="shared" si="104"/>
        <v>Establish training plan</v>
      </c>
      <c r="CK38" t="str">
        <f t="shared" si="105"/>
        <v>Guidance</v>
      </c>
      <c r="CL38" t="str">
        <f t="shared" si="106"/>
        <v>4.2.1.GX</v>
      </c>
      <c r="CM38" t="str">
        <f>IF(AND(CI38&lt;&gt;"",LEFT(CI38,1)&lt;&gt;"#"),IF(LEFT(CI38,1)="-",REPLACE(CI38,1,1,tech!$H$2),CI38),"")</f>
        <v/>
      </c>
      <c r="CN38" t="s">
        <v>495</v>
      </c>
      <c r="CO38" s="492" t="s">
        <v>503</v>
      </c>
      <c r="CP38" t="str">
        <f t="shared" si="107"/>
        <v>Establish and maintain awareness plan</v>
      </c>
      <c r="CQ38" t="str">
        <f t="shared" si="108"/>
        <v>References</v>
      </c>
      <c r="CR38" t="str">
        <f t="shared" si="109"/>
        <v>4.3.1.RX</v>
      </c>
      <c r="CS38" t="str">
        <f>IF(AND(CO38&lt;&gt;"",LEFT(CO38,1)&lt;&gt;"#"),IF(LEFT(CO38,1)="-",REPLACE(CO38,1,1,tech!$H$2),CO38),"")</f>
        <v/>
      </c>
      <c r="CT38" t="s">
        <v>495</v>
      </c>
    </row>
    <row r="39" spans="3:98" x14ac:dyDescent="0.25">
      <c r="C39" s="492"/>
      <c r="D39" t="str">
        <f t="shared" si="64"/>
        <v>Basic</v>
      </c>
      <c r="E39" t="str">
        <f t="shared" si="110"/>
        <v>Indicators</v>
      </c>
      <c r="F39" t="str">
        <f>_xlfn.CONCAT(VLOOKUP(D39,tech!$A$13:$B$17,2,0),LEFT(E39,1),IF(G39="","X","Y"))</f>
        <v>2IX</v>
      </c>
      <c r="G39" t="str">
        <f>IF(IF(LEFT(C39,1)="-",C39,"")="","",REPLACE(IF(LEFT(C39,1)="-",C39,""),1,1,tech!$H$2))</f>
        <v/>
      </c>
      <c r="H39" t="s">
        <v>495</v>
      </c>
      <c r="I39" s="492"/>
      <c r="J39" t="str">
        <f t="shared" si="65"/>
        <v>Formal assignment of responsible leadership</v>
      </c>
      <c r="K39" t="str">
        <f t="shared" si="66"/>
        <v>References</v>
      </c>
      <c r="L39" t="str">
        <f t="shared" si="67"/>
        <v>1.1.2.RX</v>
      </c>
      <c r="M39" t="str">
        <f>IF(AND(I39&lt;&gt;"",LEFT(I39,1)&lt;&gt;"#"),IF(LEFT(I39,1)="-",REPLACE(I39,1,1,tech!$H$2),I39),"")</f>
        <v/>
      </c>
      <c r="N39" t="s">
        <v>495</v>
      </c>
      <c r="O39" s="492" t="s">
        <v>504</v>
      </c>
      <c r="P39" t="str">
        <f t="shared" si="68"/>
        <v>The scope of policies is defined and documented</v>
      </c>
      <c r="Q39" t="str">
        <f t="shared" si="69"/>
        <v>References</v>
      </c>
      <c r="R39" t="str">
        <f t="shared" si="70"/>
        <v>1.2.1.RY</v>
      </c>
      <c r="S39" t="str">
        <f>IF(AND(O39&lt;&gt;"",LEFT(O39,1)&lt;&gt;"#"),IF(LEFT(O39,1)="-",REPLACE(O39,1,1,tech!$H$2),O39),"")</f>
        <v>• [ISO/IEC 27001 - Information security management systems](https://www.iso.org/standard/54534.html)</v>
      </c>
      <c r="T39" t="s">
        <v>495</v>
      </c>
      <c r="U39" s="492" t="s">
        <v>651</v>
      </c>
      <c r="V39" t="str">
        <f t="shared" si="71"/>
        <v>Compliance policies are defined, implemented, and communicated</v>
      </c>
      <c r="W39" t="str">
        <f t="shared" si="72"/>
        <v>Assessment</v>
      </c>
      <c r="X39" t="str">
        <f t="shared" si="73"/>
        <v>1.3.1.AY</v>
      </c>
      <c r="Y39" t="str">
        <f>IF(AND(U39&lt;&gt;"",LEFT(U39,1)&lt;&gt;"#"),IF(LEFT(U39,1)="-",REPLACE(U39,1,1,tech!$H$2),U39),"")</f>
        <v>• Formalized process for stakeholder acknowledgement upon receipt of the policies</v>
      </c>
      <c r="Z39" t="s">
        <v>495</v>
      </c>
      <c r="AA39" s="492" t="s">
        <v>664</v>
      </c>
      <c r="AB39" t="str">
        <f t="shared" si="74"/>
        <v>Processes and procedures are formally documented and followed</v>
      </c>
      <c r="AC39" t="str">
        <f t="shared" si="75"/>
        <v>References</v>
      </c>
      <c r="AD39" t="str">
        <f t="shared" si="76"/>
        <v>1.4.2.RX</v>
      </c>
      <c r="AE39" t="str">
        <f>IF(AND(AA39&lt;&gt;"",LEFT(AA39,1)&lt;&gt;"#"),IF(LEFT(AA39,1)="-",REPLACE(AA39,1,1,tech!$H$2),AA39),"")</f>
        <v/>
      </c>
      <c r="AF39" t="s">
        <v>495</v>
      </c>
      <c r="AG39" s="492"/>
      <c r="AH39" t="str">
        <f t="shared" si="77"/>
        <v>Key management roles and responsibilities are documented and formally assigned</v>
      </c>
      <c r="AI39" t="str">
        <f t="shared" si="78"/>
        <v>Assessment</v>
      </c>
      <c r="AJ39" t="str">
        <f t="shared" si="79"/>
        <v>2.1.1.AX</v>
      </c>
      <c r="AK39" t="str">
        <f>IF(AND(AG39&lt;&gt;"",LEFT(AG39,1)&lt;&gt;"#"),IF(LEFT(AG39,1)="-",REPLACE(AG39,1,1,tech!$H$2),AG39),"")</f>
        <v/>
      </c>
      <c r="AL39" t="s">
        <v>495</v>
      </c>
      <c r="AM39" s="492" t="s">
        <v>503</v>
      </c>
      <c r="AN39" t="str">
        <f t="shared" si="80"/>
        <v>Certificate profiles are documented</v>
      </c>
      <c r="AO39" t="str">
        <f t="shared" si="81"/>
        <v>References</v>
      </c>
      <c r="AP39" t="str">
        <f t="shared" si="82"/>
        <v>2.2.1.RX</v>
      </c>
      <c r="AQ39" t="str">
        <f>IF(AND(AM39&lt;&gt;"",LEFT(AM39,1)&lt;&gt;"#"),IF(LEFT(AM39,1)="-",REPLACE(AM39,1,1,tech!$H$2),AM39),"")</f>
        <v/>
      </c>
      <c r="AR39" t="s">
        <v>495</v>
      </c>
      <c r="AS39" s="492" t="s">
        <v>924</v>
      </c>
      <c r="AT39" t="str">
        <f t="shared" si="83"/>
        <v>Network and deployment infrastructure is documented</v>
      </c>
      <c r="AU39" t="str">
        <f t="shared" si="84"/>
        <v>Assessment</v>
      </c>
      <c r="AV39" t="str">
        <f t="shared" si="85"/>
        <v>2.3.1.AY</v>
      </c>
      <c r="AW39" t="str">
        <f>IF(AND(AS39&lt;&gt;"",LEFT(AS39,1)&lt;&gt;"#"),IF(LEFT(AS39,1)="-",REPLACE(AS39,1,1,tech!$H$2),AS39),"")</f>
        <v>• Integration with Supporting and other systems</v>
      </c>
      <c r="AX39" t="s">
        <v>495</v>
      </c>
      <c r="AY39" s="492" t="s">
        <v>988</v>
      </c>
      <c r="AZ39" t="str">
        <f t="shared" si="86"/>
        <v>The policy for change management and agility is documented</v>
      </c>
      <c r="BA39" t="str">
        <f t="shared" si="87"/>
        <v>Assessment</v>
      </c>
      <c r="BB39" t="str">
        <f t="shared" si="88"/>
        <v>2.4.1.AY</v>
      </c>
      <c r="BC39" t="str">
        <f>IF(AND(AY39&lt;&gt;"",LEFT(AY39,1)&lt;&gt;"#"),IF(LEFT(AY39,1)="-",REPLACE(AY39,1,1,tech!$H$2),AY39),"")</f>
        <v>• Understanding of the policy by the PKI personnel</v>
      </c>
      <c r="BD39" t="s">
        <v>495</v>
      </c>
      <c r="BE39" s="492" t="s">
        <v>1022</v>
      </c>
      <c r="BF39" t="str">
        <f t="shared" si="89"/>
        <v>Risk assessment and business impact analysis</v>
      </c>
      <c r="BG39" t="str">
        <f t="shared" si="90"/>
        <v>References</v>
      </c>
      <c r="BH39" t="str">
        <f t="shared" si="91"/>
        <v>3.1.1.RY</v>
      </c>
      <c r="BI39" t="str">
        <f>IF(AND(BE39&lt;&gt;"",LEFT(BE39,1)&lt;&gt;"#"),IF(LEFT(BE39,1)="-",REPLACE(BE39,1,1,tech!$H$2),BE39),"")</f>
        <v>• [ISO/TS 22317 - Guidelines for business impact analysis](https://www.iso.org/standard/79000.html)</v>
      </c>
      <c r="BJ39" t="s">
        <v>495</v>
      </c>
      <c r="BK39" s="492" t="s">
        <v>1121</v>
      </c>
      <c r="BL39" t="str">
        <f t="shared" si="92"/>
        <v>Maintain PKI interoperability strategy</v>
      </c>
      <c r="BM39" t="str">
        <f t="shared" si="93"/>
        <v>Assessment</v>
      </c>
      <c r="BN39" t="str">
        <f t="shared" si="94"/>
        <v>3.2.1.AY</v>
      </c>
      <c r="BO39" t="str">
        <f>IF(AND(BK39&lt;&gt;"",LEFT(BK39,1)&lt;&gt;"#"),IF(LEFT(BK39,1)="-",REPLACE(BK39,1,1,tech!$H$2),BK39),"")</f>
        <v>• Review documentation for PKI components to verify the requirements for interoperability</v>
      </c>
      <c r="BP39" t="s">
        <v>495</v>
      </c>
      <c r="BQ39" s="492"/>
      <c r="BR39" t="str">
        <f t="shared" si="95"/>
        <v>Monitoring events and logging requirements are defined and documented</v>
      </c>
      <c r="BS39" t="str">
        <f t="shared" si="96"/>
        <v>Assessment</v>
      </c>
      <c r="BT39" t="str">
        <f t="shared" si="97"/>
        <v>3.3.1.AX</v>
      </c>
      <c r="BU39" t="str">
        <f>IF(AND(BQ39&lt;&gt;"",LEFT(BQ39,1)&lt;&gt;"#"),IF(LEFT(BQ39,1)="-",REPLACE(BQ39,1,1,tech!$H$2),BQ39),"")</f>
        <v/>
      </c>
      <c r="BV39" t="s">
        <v>495</v>
      </c>
      <c r="BW39" s="492" t="s">
        <v>1238</v>
      </c>
      <c r="BX39" t="str">
        <f t="shared" si="98"/>
        <v>Process automation description</v>
      </c>
      <c r="BY39" t="str">
        <f t="shared" si="99"/>
        <v>Assessment</v>
      </c>
      <c r="BZ39" t="str">
        <f t="shared" si="100"/>
        <v>3.4.1.AY</v>
      </c>
      <c r="CA39" t="str">
        <f>IF(AND(BW39&lt;&gt;"",LEFT(BW39,1)&lt;&gt;"#"),IF(LEFT(BW39,1)="-",REPLACE(BW39,1,1,tech!$H$2),BW39),"")</f>
        <v>• Interview with administrators</v>
      </c>
      <c r="CB39" t="s">
        <v>495</v>
      </c>
      <c r="CC39" s="492" t="s">
        <v>1259</v>
      </c>
      <c r="CD39" t="str">
        <f t="shared" si="101"/>
        <v>Resources are clearly defined</v>
      </c>
      <c r="CE39" t="str">
        <f t="shared" si="102"/>
        <v>Guidance</v>
      </c>
      <c r="CF39" t="str">
        <f t="shared" si="103"/>
        <v>4.1.2.GY</v>
      </c>
      <c r="CG39" t="str">
        <f>IF(AND(CC39&lt;&gt;"",LEFT(CC39,1)&lt;&gt;"#"),IF(LEFT(CC39,1)="-",REPLACE(CC39,1,1,tech!$H$2),CC39),"")</f>
        <v>Identified resources should be properly defined and specified. The specification depends on the type of the resource and can include for example the following:</v>
      </c>
      <c r="CH39" t="s">
        <v>495</v>
      </c>
      <c r="CI39" s="492" t="s">
        <v>501</v>
      </c>
      <c r="CJ39" t="str">
        <f t="shared" si="104"/>
        <v>Establish training plan</v>
      </c>
      <c r="CK39" t="str">
        <f t="shared" si="105"/>
        <v>Assessment</v>
      </c>
      <c r="CL39" t="str">
        <f t="shared" si="106"/>
        <v>4.2.1.AX</v>
      </c>
      <c r="CM39" t="str">
        <f>IF(AND(CI39&lt;&gt;"",LEFT(CI39,1)&lt;&gt;"#"),IF(LEFT(CI39,1)="-",REPLACE(CI39,1,1,tech!$H$2),CI39),"")</f>
        <v/>
      </c>
      <c r="CN39" t="s">
        <v>495</v>
      </c>
      <c r="CO39" s="492"/>
      <c r="CP39" t="str">
        <f t="shared" si="107"/>
        <v>Establish and maintain awareness plan</v>
      </c>
      <c r="CQ39" t="str">
        <f t="shared" si="108"/>
        <v>References</v>
      </c>
      <c r="CR39" t="str">
        <f t="shared" si="109"/>
        <v>4.3.1.RX</v>
      </c>
      <c r="CS39" t="str">
        <f>IF(AND(CO39&lt;&gt;"",LEFT(CO39,1)&lt;&gt;"#"),IF(LEFT(CO39,1)="-",REPLACE(CO39,1,1,tech!$H$2),CO39),"")</f>
        <v/>
      </c>
      <c r="CT39" t="s">
        <v>495</v>
      </c>
    </row>
    <row r="40" spans="3:98" x14ac:dyDescent="0.25">
      <c r="C40" s="492" t="s">
        <v>448</v>
      </c>
      <c r="D40" t="str">
        <f t="shared" si="64"/>
        <v>Basic</v>
      </c>
      <c r="E40" t="str">
        <f t="shared" si="110"/>
        <v>Associated risks</v>
      </c>
      <c r="F40" t="str">
        <f>_xlfn.CONCAT(VLOOKUP(D40,tech!$A$13:$B$17,2,0),LEFT(E40,1),IF(G40="","X","Y"))</f>
        <v>2AX</v>
      </c>
      <c r="G40" t="str">
        <f>IF(IF(LEFT(C40,1)="-",C40,"")="","",REPLACE(IF(LEFT(C40,1)="-",C40,""),1,1,tech!$H$2))</f>
        <v/>
      </c>
      <c r="H40" t="s">
        <v>495</v>
      </c>
      <c r="I40" s="492" t="s">
        <v>498</v>
      </c>
      <c r="J40" t="str">
        <f t="shared" si="65"/>
        <v>Formal assignment of responsible leadership</v>
      </c>
      <c r="K40" t="str">
        <f t="shared" si="66"/>
        <v>Guidance</v>
      </c>
      <c r="L40" t="str">
        <f t="shared" si="67"/>
        <v>1.1.2.GX</v>
      </c>
      <c r="M40" t="str">
        <f>IF(AND(I40&lt;&gt;"",LEFT(I40,1)&lt;&gt;"#"),IF(LEFT(I40,1)="-",REPLACE(I40,1,1,tech!$H$2),I40),"")</f>
        <v/>
      </c>
      <c r="N40" t="s">
        <v>495</v>
      </c>
      <c r="O40" s="492" t="s">
        <v>519</v>
      </c>
      <c r="P40" t="str">
        <f t="shared" si="68"/>
        <v>The scope of policies is defined and documented</v>
      </c>
      <c r="Q40" t="str">
        <f t="shared" si="69"/>
        <v>References</v>
      </c>
      <c r="R40" t="str">
        <f t="shared" si="70"/>
        <v>1.2.1.RY</v>
      </c>
      <c r="S40" t="str">
        <f>IF(AND(O40&lt;&gt;"",LEFT(O40,1)&lt;&gt;"#"),IF(LEFT(O40,1)="-",REPLACE(O40,1,1,tech!$H$2),O40),"")</f>
        <v>• [ETSI EN 319 401 - General Policy Requirements for Trust Service Providers](https://www.etsi.org/deliver/etsi_en/319400_319499/319401/02.03.01_60/en_319401v020301p.pdf)</v>
      </c>
      <c r="T40" t="s">
        <v>495</v>
      </c>
      <c r="U40" s="492"/>
      <c r="V40" t="str">
        <f t="shared" si="71"/>
        <v>Compliance policies are defined, implemented, and communicated</v>
      </c>
      <c r="W40" t="str">
        <f t="shared" si="72"/>
        <v>Assessment</v>
      </c>
      <c r="X40" t="str">
        <f t="shared" si="73"/>
        <v>1.3.1.AX</v>
      </c>
      <c r="Y40" t="str">
        <f>IF(AND(U40&lt;&gt;"",LEFT(U40,1)&lt;&gt;"#"),IF(LEFT(U40,1)="-",REPLACE(U40,1,1,tech!$H$2),U40),"")</f>
        <v/>
      </c>
      <c r="Z40" t="s">
        <v>495</v>
      </c>
      <c r="AA40" s="492"/>
      <c r="AB40" t="str">
        <f t="shared" si="74"/>
        <v>Processes and procedures are formally documented and followed</v>
      </c>
      <c r="AC40" t="str">
        <f t="shared" si="75"/>
        <v>References</v>
      </c>
      <c r="AD40" t="str">
        <f t="shared" si="76"/>
        <v>1.4.2.RX</v>
      </c>
      <c r="AE40" t="str">
        <f>IF(AND(AA40&lt;&gt;"",LEFT(AA40,1)&lt;&gt;"#"),IF(LEFT(AA40,1)="-",REPLACE(AA40,1,1,tech!$H$2),AA40),"")</f>
        <v/>
      </c>
      <c r="AF40" t="s">
        <v>495</v>
      </c>
      <c r="AG40" s="492" t="s">
        <v>503</v>
      </c>
      <c r="AH40" t="str">
        <f t="shared" si="77"/>
        <v>Key management roles and responsibilities are documented and formally assigned</v>
      </c>
      <c r="AI40" t="str">
        <f t="shared" si="78"/>
        <v>References</v>
      </c>
      <c r="AJ40" t="str">
        <f t="shared" si="79"/>
        <v>2.1.1.RX</v>
      </c>
      <c r="AK40" t="str">
        <f>IF(AND(AG40&lt;&gt;"",LEFT(AG40,1)&lt;&gt;"#"),IF(LEFT(AG40,1)="-",REPLACE(AG40,1,1,tech!$H$2),AG40),"")</f>
        <v/>
      </c>
      <c r="AL40" t="s">
        <v>495</v>
      </c>
      <c r="AM40" s="492"/>
      <c r="AN40" t="str">
        <f t="shared" si="80"/>
        <v>Certificate profiles are documented</v>
      </c>
      <c r="AO40" t="str">
        <f t="shared" si="81"/>
        <v>References</v>
      </c>
      <c r="AP40" t="str">
        <f t="shared" si="82"/>
        <v>2.2.1.RX</v>
      </c>
      <c r="AQ40" t="str">
        <f>IF(AND(AM40&lt;&gt;"",LEFT(AM40,1)&lt;&gt;"#"),IF(LEFT(AM40,1)="-",REPLACE(AM40,1,1,tech!$H$2),AM40),"")</f>
        <v/>
      </c>
      <c r="AR40" t="s">
        <v>495</v>
      </c>
      <c r="AS40" s="492" t="s">
        <v>925</v>
      </c>
      <c r="AT40" t="str">
        <f t="shared" si="83"/>
        <v>Network and deployment infrastructure is documented</v>
      </c>
      <c r="AU40" t="str">
        <f t="shared" si="84"/>
        <v>Assessment</v>
      </c>
      <c r="AV40" t="str">
        <f t="shared" si="85"/>
        <v>2.3.1.AY</v>
      </c>
      <c r="AW40" t="str">
        <f>IF(AND(AS40&lt;&gt;"",LEFT(AS40,1)&lt;&gt;"#"),IF(LEFT(AS40,1)="-",REPLACE(AS40,1,1,tech!$H$2),AS40),"")</f>
        <v>• Interview with the network administrators</v>
      </c>
      <c r="AX40" t="s">
        <v>495</v>
      </c>
      <c r="AY40" s="492" t="s">
        <v>989</v>
      </c>
      <c r="AZ40" t="str">
        <f t="shared" si="86"/>
        <v>The policy for change management and agility is documented</v>
      </c>
      <c r="BA40" t="str">
        <f t="shared" si="87"/>
        <v>Assessment</v>
      </c>
      <c r="BB40" t="str">
        <f t="shared" si="88"/>
        <v>2.4.1.AY</v>
      </c>
      <c r="BC40" t="str">
        <f>IF(AND(AY40&lt;&gt;"",LEFT(AY40,1)&lt;&gt;"#"),IF(LEFT(AY40,1)="-",REPLACE(AY40,1,1,tech!$H$2),AY40),"")</f>
        <v>• and other relevant evidence</v>
      </c>
      <c r="BD40" t="s">
        <v>495</v>
      </c>
      <c r="BE40" s="492"/>
      <c r="BF40" t="str">
        <f t="shared" si="89"/>
        <v>Risk assessment and business impact analysis</v>
      </c>
      <c r="BG40" t="str">
        <f t="shared" si="90"/>
        <v>References</v>
      </c>
      <c r="BH40" t="str">
        <f t="shared" si="91"/>
        <v>3.1.1.RX</v>
      </c>
      <c r="BI40" t="str">
        <f>IF(AND(BE40&lt;&gt;"",LEFT(BE40,1)&lt;&gt;"#"),IF(LEFT(BE40,1)="-",REPLACE(BE40,1,1,tech!$H$2),BE40),"")</f>
        <v/>
      </c>
      <c r="BJ40" t="s">
        <v>495</v>
      </c>
      <c r="BK40" s="492"/>
      <c r="BL40" t="str">
        <f t="shared" si="92"/>
        <v>Maintain PKI interoperability strategy</v>
      </c>
      <c r="BM40" t="str">
        <f t="shared" si="93"/>
        <v>Assessment</v>
      </c>
      <c r="BN40" t="str">
        <f t="shared" si="94"/>
        <v>3.2.1.AX</v>
      </c>
      <c r="BO40" t="str">
        <f>IF(AND(BK40&lt;&gt;"",LEFT(BK40,1)&lt;&gt;"#"),IF(LEFT(BK40,1)="-",REPLACE(BK40,1,1,tech!$H$2),BK40),"")</f>
        <v/>
      </c>
      <c r="BP40" t="s">
        <v>495</v>
      </c>
      <c r="BQ40" s="492" t="s">
        <v>503</v>
      </c>
      <c r="BR40" t="str">
        <f t="shared" si="95"/>
        <v>Monitoring events and logging requirements are defined and documented</v>
      </c>
      <c r="BS40" t="str">
        <f t="shared" si="96"/>
        <v>References</v>
      </c>
      <c r="BT40" t="str">
        <f t="shared" si="97"/>
        <v>3.3.1.RX</v>
      </c>
      <c r="BU40" t="str">
        <f>IF(AND(BQ40&lt;&gt;"",LEFT(BQ40,1)&lt;&gt;"#"),IF(LEFT(BQ40,1)="-",REPLACE(BQ40,1,1,tech!$H$2),BQ40),"")</f>
        <v/>
      </c>
      <c r="BV40" t="s">
        <v>495</v>
      </c>
      <c r="BW40" s="492" t="s">
        <v>1239</v>
      </c>
      <c r="BX40" t="str">
        <f t="shared" si="98"/>
        <v>Process automation description</v>
      </c>
      <c r="BY40" t="str">
        <f t="shared" si="99"/>
        <v>Assessment</v>
      </c>
      <c r="BZ40" t="str">
        <f t="shared" si="100"/>
        <v>3.4.1.AY</v>
      </c>
      <c r="CA40" t="str">
        <f>IF(AND(BW40&lt;&gt;"",LEFT(BW40,1)&lt;&gt;"#"),IF(LEFT(BW40,1)="-",REPLACE(BW40,1,1,tech!$H$2),BW40),"")</f>
        <v>• Sample of automated process logs</v>
      </c>
      <c r="CB40" t="s">
        <v>495</v>
      </c>
      <c r="CC40" s="492" t="s">
        <v>1260</v>
      </c>
      <c r="CD40" t="str">
        <f t="shared" si="101"/>
        <v>Resources are clearly defined</v>
      </c>
      <c r="CE40" t="str">
        <f t="shared" si="102"/>
        <v>Guidance</v>
      </c>
      <c r="CF40" t="str">
        <f t="shared" si="103"/>
        <v>4.1.2.GY</v>
      </c>
      <c r="CG40" t="str">
        <f>IF(AND(CC40&lt;&gt;"",LEFT(CC40,1)&lt;&gt;"#"),IF(LEFT(CC40,1)="-",REPLACE(CC40,1,1,tech!$H$2),CC40),"")</f>
        <v>• People: required skills to perform the tasks, roles, and responsibilities</v>
      </c>
      <c r="CH40" t="s">
        <v>495</v>
      </c>
      <c r="CI40" s="492"/>
      <c r="CJ40" t="str">
        <f t="shared" si="104"/>
        <v>Establish training plan</v>
      </c>
      <c r="CK40" t="str">
        <f t="shared" si="105"/>
        <v>Assessment</v>
      </c>
      <c r="CL40" t="str">
        <f t="shared" si="106"/>
        <v>4.2.1.AX</v>
      </c>
      <c r="CM40" t="str">
        <f>IF(AND(CI40&lt;&gt;"",LEFT(CI40,1)&lt;&gt;"#"),IF(LEFT(CI40,1)="-",REPLACE(CI40,1,1,tech!$H$2),CI40),"")</f>
        <v/>
      </c>
      <c r="CN40" t="s">
        <v>495</v>
      </c>
      <c r="CO40" s="492" t="s">
        <v>1369</v>
      </c>
      <c r="CP40" t="str">
        <f t="shared" si="107"/>
        <v>Establish and maintain awareness plan</v>
      </c>
      <c r="CQ40" t="str">
        <f t="shared" si="108"/>
        <v>References</v>
      </c>
      <c r="CR40" t="str">
        <f t="shared" si="109"/>
        <v>4.3.1.RY</v>
      </c>
      <c r="CS40" t="str">
        <f>IF(AND(CO40&lt;&gt;"",LEFT(CO40,1)&lt;&gt;"#"),IF(LEFT(CO40,1)="-",REPLACE(CO40,1,1,tech!$H$2),CO40),"")</f>
        <v>• [RFC 3647 Internet X.509 Public Key Infrastructure Certificate Policy and Certification Practices Framework](https://datatracker.ietf.org/doc/html/rfc3647)</v>
      </c>
      <c r="CT40" t="s">
        <v>495</v>
      </c>
    </row>
    <row r="41" spans="3:98" x14ac:dyDescent="0.25">
      <c r="C41" s="492"/>
      <c r="D41" t="str">
        <f t="shared" si="64"/>
        <v>Basic</v>
      </c>
      <c r="E41" t="str">
        <f t="shared" si="110"/>
        <v>Associated risks</v>
      </c>
      <c r="F41" t="str">
        <f>_xlfn.CONCAT(VLOOKUP(D41,tech!$A$13:$B$17,2,0),LEFT(E41,1),IF(G41="","X","Y"))</f>
        <v>2AX</v>
      </c>
      <c r="G41" t="str">
        <f>IF(IF(LEFT(C41,1)="-",C41,"")="","",REPLACE(IF(LEFT(C41,1)="-",C41,""),1,1,tech!$H$2))</f>
        <v/>
      </c>
      <c r="H41" t="s">
        <v>495</v>
      </c>
      <c r="I41" s="492"/>
      <c r="J41" t="str">
        <f t="shared" si="65"/>
        <v>Formal assignment of responsible leadership</v>
      </c>
      <c r="K41" t="str">
        <f t="shared" si="66"/>
        <v>Guidance</v>
      </c>
      <c r="L41" t="str">
        <f t="shared" si="67"/>
        <v>1.1.2.GX</v>
      </c>
      <c r="M41" t="str">
        <f>IF(AND(I41&lt;&gt;"",LEFT(I41,1)&lt;&gt;"#"),IF(LEFT(I41,1)="-",REPLACE(I41,1,1,tech!$H$2),I41),"")</f>
        <v/>
      </c>
      <c r="N41" t="s">
        <v>495</v>
      </c>
      <c r="O41" s="492"/>
      <c r="P41" t="str">
        <f t="shared" si="68"/>
        <v>The scope of policies is defined and documented</v>
      </c>
      <c r="Q41" t="str">
        <f t="shared" si="69"/>
        <v>References</v>
      </c>
      <c r="R41" t="str">
        <f t="shared" si="70"/>
        <v>1.2.1.RX</v>
      </c>
      <c r="S41" t="str">
        <f>IF(AND(O41&lt;&gt;"",LEFT(O41,1)&lt;&gt;"#"),IF(LEFT(O41,1)="-",REPLACE(O41,1,1,tech!$H$2),O41),"")</f>
        <v/>
      </c>
      <c r="T41" t="s">
        <v>495</v>
      </c>
      <c r="U41" s="492" t="s">
        <v>503</v>
      </c>
      <c r="V41" t="str">
        <f t="shared" si="71"/>
        <v>Compliance policies are defined, implemented, and communicated</v>
      </c>
      <c r="W41" t="str">
        <f t="shared" si="72"/>
        <v>References</v>
      </c>
      <c r="X41" t="str">
        <f t="shared" si="73"/>
        <v>1.3.1.RX</v>
      </c>
      <c r="Y41" t="str">
        <f>IF(AND(U41&lt;&gt;"",LEFT(U41,1)&lt;&gt;"#"),IF(LEFT(U41,1)="-",REPLACE(U41,1,1,tech!$H$2),U41),"")</f>
        <v/>
      </c>
      <c r="Z41" t="s">
        <v>495</v>
      </c>
      <c r="AA41" s="492" t="s">
        <v>498</v>
      </c>
      <c r="AB41" t="str">
        <f t="shared" si="74"/>
        <v>Processes and procedures are formally documented and followed</v>
      </c>
      <c r="AC41" t="str">
        <f t="shared" si="75"/>
        <v>Guidance</v>
      </c>
      <c r="AD41" t="str">
        <f t="shared" si="76"/>
        <v>1.4.2.GX</v>
      </c>
      <c r="AE41" t="str">
        <f>IF(AND(AA41&lt;&gt;"",LEFT(AA41,1)&lt;&gt;"#"),IF(LEFT(AA41,1)="-",REPLACE(AA41,1,1,tech!$H$2),AA41),"")</f>
        <v/>
      </c>
      <c r="AF41" t="s">
        <v>495</v>
      </c>
      <c r="AG41" s="492"/>
      <c r="AH41" t="str">
        <f t="shared" si="77"/>
        <v>Key management roles and responsibilities are documented and formally assigned</v>
      </c>
      <c r="AI41" t="str">
        <f t="shared" si="78"/>
        <v>References</v>
      </c>
      <c r="AJ41" t="str">
        <f t="shared" si="79"/>
        <v>2.1.1.RX</v>
      </c>
      <c r="AK41" t="str">
        <f>IF(AND(AG41&lt;&gt;"",LEFT(AG41,1)&lt;&gt;"#"),IF(LEFT(AG41,1)="-",REPLACE(AG41,1,1,tech!$H$2),AG41),"")</f>
        <v/>
      </c>
      <c r="AL41" t="s">
        <v>495</v>
      </c>
      <c r="AM41" s="492" t="s">
        <v>792</v>
      </c>
      <c r="AN41" t="str">
        <f t="shared" si="80"/>
        <v>Certificate profiles are documented</v>
      </c>
      <c r="AO41" t="str">
        <f t="shared" si="81"/>
        <v>References</v>
      </c>
      <c r="AP41" t="str">
        <f t="shared" si="82"/>
        <v>2.2.1.RY</v>
      </c>
      <c r="AQ41" t="str">
        <f>IF(AND(AM41&lt;&gt;"",LEFT(AM41,1)&lt;&gt;"#"),IF(LEFT(AM41,1)="-",REPLACE(AM41,1,1,tech!$H$2),AM41),"")</f>
        <v>Most certificate profiles aim for compatibility with RFC 5280 for maximum interoperability. Some examples of specific profiles are given below.</v>
      </c>
      <c r="AR41" t="s">
        <v>495</v>
      </c>
      <c r="AS41" s="492"/>
      <c r="AT41" t="str">
        <f t="shared" si="83"/>
        <v>Network and deployment infrastructure is documented</v>
      </c>
      <c r="AU41" t="str">
        <f t="shared" si="84"/>
        <v>Assessment</v>
      </c>
      <c r="AV41" t="str">
        <f t="shared" si="85"/>
        <v>2.3.1.AX</v>
      </c>
      <c r="AW41" t="str">
        <f>IF(AND(AS41&lt;&gt;"",LEFT(AS41,1)&lt;&gt;"#"),IF(LEFT(AS41,1)="-",REPLACE(AS41,1,1,tech!$H$2),AS41),"")</f>
        <v/>
      </c>
      <c r="AX41" t="s">
        <v>495</v>
      </c>
      <c r="AY41" s="492"/>
      <c r="AZ41" t="str">
        <f t="shared" si="86"/>
        <v>The policy for change management and agility is documented</v>
      </c>
      <c r="BA41" t="str">
        <f t="shared" si="87"/>
        <v>Assessment</v>
      </c>
      <c r="BB41" t="str">
        <f t="shared" si="88"/>
        <v>2.4.1.AX</v>
      </c>
      <c r="BC41" t="str">
        <f>IF(AND(AY41&lt;&gt;"",LEFT(AY41,1)&lt;&gt;"#"),IF(LEFT(AY41,1)="-",REPLACE(AY41,1,1,tech!$H$2),AY41),"")</f>
        <v/>
      </c>
      <c r="BD41" t="s">
        <v>495</v>
      </c>
      <c r="BE41" s="492" t="s">
        <v>1023</v>
      </c>
      <c r="BF41" t="str">
        <f t="shared" si="89"/>
        <v>Cyber-security management and incident planning</v>
      </c>
      <c r="BG41" t="str">
        <f t="shared" si="90"/>
        <v>References</v>
      </c>
      <c r="BH41" t="str">
        <f t="shared" si="91"/>
        <v>3.1.2.RX</v>
      </c>
      <c r="BI41" t="str">
        <f>IF(AND(BE41&lt;&gt;"",LEFT(BE41,1)&lt;&gt;"#"),IF(LEFT(BE41,1)="-",REPLACE(BE41,1,1,tech!$H$2),BE41),"")</f>
        <v/>
      </c>
      <c r="BJ41" t="s">
        <v>495</v>
      </c>
      <c r="BK41" s="492" t="s">
        <v>503</v>
      </c>
      <c r="BL41" t="str">
        <f t="shared" si="92"/>
        <v>Maintain PKI interoperability strategy</v>
      </c>
      <c r="BM41" t="str">
        <f t="shared" si="93"/>
        <v>References</v>
      </c>
      <c r="BN41" t="str">
        <f t="shared" si="94"/>
        <v>3.2.1.RX</v>
      </c>
      <c r="BO41" t="str">
        <f>IF(AND(BK41&lt;&gt;"",LEFT(BK41,1)&lt;&gt;"#"),IF(LEFT(BK41,1)="-",REPLACE(BK41,1,1,tech!$H$2),BK41),"")</f>
        <v/>
      </c>
      <c r="BP41" t="s">
        <v>495</v>
      </c>
      <c r="BQ41" s="492"/>
      <c r="BR41" t="str">
        <f t="shared" si="95"/>
        <v>Monitoring events and logging requirements are defined and documented</v>
      </c>
      <c r="BS41" t="str">
        <f t="shared" si="96"/>
        <v>References</v>
      </c>
      <c r="BT41" t="str">
        <f t="shared" si="97"/>
        <v>3.3.1.RX</v>
      </c>
      <c r="BU41" t="str">
        <f>IF(AND(BQ41&lt;&gt;"",LEFT(BQ41,1)&lt;&gt;"#"),IF(LEFT(BQ41,1)="-",REPLACE(BQ41,1,1,tech!$H$2),BQ41),"")</f>
        <v/>
      </c>
      <c r="BV41" t="s">
        <v>495</v>
      </c>
      <c r="BW41" s="492"/>
      <c r="BX41" t="str">
        <f t="shared" si="98"/>
        <v>Process automation description</v>
      </c>
      <c r="BY41" t="str">
        <f t="shared" si="99"/>
        <v>Assessment</v>
      </c>
      <c r="BZ41" t="str">
        <f t="shared" si="100"/>
        <v>3.4.1.AX</v>
      </c>
      <c r="CA41" t="str">
        <f>IF(AND(BW41&lt;&gt;"",LEFT(BW41,1)&lt;&gt;"#"),IF(LEFT(BW41,1)="-",REPLACE(BW41,1,1,tech!$H$2),BW41),"")</f>
        <v/>
      </c>
      <c r="CB41" t="s">
        <v>495</v>
      </c>
      <c r="CC41" s="492" t="s">
        <v>1261</v>
      </c>
      <c r="CD41" t="str">
        <f t="shared" si="101"/>
        <v>Resources are clearly defined</v>
      </c>
      <c r="CE41" t="str">
        <f t="shared" si="102"/>
        <v>Guidance</v>
      </c>
      <c r="CF41" t="str">
        <f t="shared" si="103"/>
        <v>4.1.2.GY</v>
      </c>
      <c r="CG41" t="str">
        <f>IF(AND(CC41&lt;&gt;"",LEFT(CC41,1)&lt;&gt;"#"),IF(LEFT(CC41,1)="-",REPLACE(CC41,1,1,tech!$H$2),CC41),"")</f>
        <v>• Tools: description, supported technologies</v>
      </c>
      <c r="CH41" t="s">
        <v>495</v>
      </c>
      <c r="CI41" s="492" t="s">
        <v>1330</v>
      </c>
      <c r="CJ41" t="str">
        <f t="shared" si="104"/>
        <v>Establish training plan</v>
      </c>
      <c r="CK41" t="str">
        <f t="shared" si="105"/>
        <v>Assessment</v>
      </c>
      <c r="CL41" t="str">
        <f t="shared" si="106"/>
        <v>4.2.1.AY</v>
      </c>
      <c r="CM41" t="str">
        <f>IF(AND(CI41&lt;&gt;"",LEFT(CI41,1)&lt;&gt;"#"),IF(LEFT(CI41,1)="-",REPLACE(CI41,1,1,tech!$H$2),CI41),"")</f>
        <v>• Documented Training plan</v>
      </c>
      <c r="CN41" t="s">
        <v>495</v>
      </c>
      <c r="CO41" s="492" t="s">
        <v>519</v>
      </c>
      <c r="CP41" t="str">
        <f t="shared" si="107"/>
        <v>Establish and maintain awareness plan</v>
      </c>
      <c r="CQ41" t="str">
        <f t="shared" si="108"/>
        <v>References</v>
      </c>
      <c r="CR41" t="str">
        <f t="shared" si="109"/>
        <v>4.3.1.RY</v>
      </c>
      <c r="CS41" t="str">
        <f>IF(AND(CO41&lt;&gt;"",LEFT(CO41,1)&lt;&gt;"#"),IF(LEFT(CO41,1)="-",REPLACE(CO41,1,1,tech!$H$2),CO41),"")</f>
        <v>• [ETSI EN 319 401 - General Policy Requirements for Trust Service Providers](https://www.etsi.org/deliver/etsi_en/319400_319499/319401/02.03.01_60/en_319401v020301p.pdf)</v>
      </c>
      <c r="CT41" t="s">
        <v>495</v>
      </c>
    </row>
    <row r="42" spans="3:98" x14ac:dyDescent="0.25">
      <c r="C42" s="492" t="s">
        <v>458</v>
      </c>
      <c r="D42" t="str">
        <f t="shared" si="64"/>
        <v>Basic</v>
      </c>
      <c r="E42" t="str">
        <f t="shared" si="110"/>
        <v>Associated risks</v>
      </c>
      <c r="F42" t="str">
        <f>_xlfn.CONCAT(VLOOKUP(D42,tech!$A$13:$B$17,2,0),LEFT(E42,1),IF(G42="","X","Y"))</f>
        <v>2AY</v>
      </c>
      <c r="G42" t="str">
        <f>IF(IF(LEFT(C42,1)="-",C42,"")="","",REPLACE(IF(LEFT(C42,1)="-",C42,""),1,1,tech!$H$2))</f>
        <v>• High probability of operational issues</v>
      </c>
      <c r="H42" t="s">
        <v>495</v>
      </c>
      <c r="I42" s="492" t="s">
        <v>441</v>
      </c>
      <c r="J42" t="str">
        <f t="shared" si="65"/>
        <v>Formal assignment of responsible leadership</v>
      </c>
      <c r="K42" t="str">
        <f t="shared" si="66"/>
        <v>Guidance</v>
      </c>
      <c r="L42" t="str">
        <f t="shared" si="67"/>
        <v>1.1.2.GY</v>
      </c>
      <c r="M42" t="str">
        <f>IF(AND(I42&lt;&gt;"",LEFT(I42,1)&lt;&gt;"#"),IF(LEFT(I42,1)="-",REPLACE(I42,1,1,tech!$H$2),I42),"")</f>
        <v>Proper leadership and responsible person should be assigned by the management to fulfil the role for the establishment, maintenance, and development of the PKI according to the strategy and vision. The responsible person should be able to make decisions and take actions to ensure the PKI is aligned with the organizational goals and needs.</v>
      </c>
      <c r="N42" t="s">
        <v>495</v>
      </c>
      <c r="O42" s="492" t="s">
        <v>552</v>
      </c>
      <c r="P42" t="str">
        <f t="shared" si="68"/>
        <v>Certificate policy is documented and published</v>
      </c>
      <c r="Q42" t="str">
        <f t="shared" si="69"/>
        <v>References</v>
      </c>
      <c r="R42" t="str">
        <f t="shared" si="70"/>
        <v>1.2.2.RX</v>
      </c>
      <c r="S42" t="str">
        <f>IF(AND(O42&lt;&gt;"",LEFT(O42,1)&lt;&gt;"#"),IF(LEFT(O42,1)="-",REPLACE(O42,1,1,tech!$H$2),O42),"")</f>
        <v/>
      </c>
      <c r="T42" t="s">
        <v>495</v>
      </c>
      <c r="U42" s="492"/>
      <c r="V42" t="str">
        <f t="shared" si="71"/>
        <v>Compliance policies are defined, implemented, and communicated</v>
      </c>
      <c r="W42" t="str">
        <f t="shared" si="72"/>
        <v>References</v>
      </c>
      <c r="X42" t="str">
        <f t="shared" si="73"/>
        <v>1.3.1.RX</v>
      </c>
      <c r="Y42" t="str">
        <f>IF(AND(U42&lt;&gt;"",LEFT(U42,1)&lt;&gt;"#"),IF(LEFT(U42,1)="-",REPLACE(U42,1,1,tech!$H$2),U42),"")</f>
        <v/>
      </c>
      <c r="Z42" t="s">
        <v>495</v>
      </c>
      <c r="AA42" s="492"/>
      <c r="AB42" t="str">
        <f t="shared" si="74"/>
        <v>Processes and procedures are formally documented and followed</v>
      </c>
      <c r="AC42" t="str">
        <f t="shared" si="75"/>
        <v>Guidance</v>
      </c>
      <c r="AD42" t="str">
        <f t="shared" si="76"/>
        <v>1.4.2.GX</v>
      </c>
      <c r="AE42" t="str">
        <f>IF(AND(AA42&lt;&gt;"",LEFT(AA42,1)&lt;&gt;"#"),IF(LEFT(AA42,1)="-",REPLACE(AA42,1,1,tech!$H$2),AA42),"")</f>
        <v/>
      </c>
      <c r="AF42" t="s">
        <v>495</v>
      </c>
      <c r="AG42" s="492" t="s">
        <v>707</v>
      </c>
      <c r="AH42" t="str">
        <f t="shared" si="77"/>
        <v>Key management roles and responsibilities are documented and formally assigned</v>
      </c>
      <c r="AI42" t="str">
        <f t="shared" si="78"/>
        <v>References</v>
      </c>
      <c r="AJ42" t="str">
        <f t="shared" si="79"/>
        <v>2.1.1.RY</v>
      </c>
      <c r="AK42" t="str">
        <f>IF(AND(AG42&lt;&gt;"",LEFT(AG42,1)&lt;&gt;"#"),IF(LEFT(AG42,1)="-",REPLACE(AG42,1,1,tech!$H$2),AG42),"")</f>
        <v>• [ISO/IEC 27001 and related standards](https://www.iso.org/isoiec-27001-information-security.html)</v>
      </c>
      <c r="AL42" t="s">
        <v>495</v>
      </c>
      <c r="AM42" s="492" t="s">
        <v>793</v>
      </c>
      <c r="AN42" t="str">
        <f t="shared" si="80"/>
        <v>Certificate profiles are documented</v>
      </c>
      <c r="AO42" t="str">
        <f t="shared" si="81"/>
        <v>References</v>
      </c>
      <c r="AP42" t="str">
        <f t="shared" si="82"/>
        <v>2.2.1.RY</v>
      </c>
      <c r="AQ42" t="str">
        <f>IF(AND(AM42&lt;&gt;"",LEFT(AM42,1)&lt;&gt;"#"),IF(LEFT(AM42,1)="-",REPLACE(AM42,1,1,tech!$H$2),AM42),"")</f>
        <v>* [RFC 5280 - Internet X.509 Public Key Infrastructure Certificate and Certificate Revocation List (CRL) Profile](https://datatracker.ietf.org/doc/html/rfc5280)</v>
      </c>
      <c r="AR42" t="s">
        <v>495</v>
      </c>
      <c r="AS42" s="492" t="s">
        <v>503</v>
      </c>
      <c r="AT42" t="str">
        <f t="shared" si="83"/>
        <v>Network and deployment infrastructure is documented</v>
      </c>
      <c r="AU42" t="str">
        <f t="shared" si="84"/>
        <v>References</v>
      </c>
      <c r="AV42" t="str">
        <f t="shared" si="85"/>
        <v>2.3.1.RX</v>
      </c>
      <c r="AW42" t="str">
        <f>IF(AND(AS42&lt;&gt;"",LEFT(AS42,1)&lt;&gt;"#"),IF(LEFT(AS42,1)="-",REPLACE(AS42,1,1,tech!$H$2),AS42),"")</f>
        <v/>
      </c>
      <c r="AX42" t="s">
        <v>495</v>
      </c>
      <c r="AY42" s="492" t="s">
        <v>503</v>
      </c>
      <c r="AZ42" t="str">
        <f t="shared" si="86"/>
        <v>The policy for change management and agility is documented</v>
      </c>
      <c r="BA42" t="str">
        <f t="shared" si="87"/>
        <v>References</v>
      </c>
      <c r="BB42" t="str">
        <f t="shared" si="88"/>
        <v>2.4.1.RX</v>
      </c>
      <c r="BC42" t="str">
        <f>IF(AND(AY42&lt;&gt;"",LEFT(AY42,1)&lt;&gt;"#"),IF(LEFT(AY42,1)="-",REPLACE(AY42,1,1,tech!$H$2),AY42),"")</f>
        <v/>
      </c>
      <c r="BD42" t="s">
        <v>495</v>
      </c>
      <c r="BE42" s="492"/>
      <c r="BF42" t="str">
        <f t="shared" si="89"/>
        <v>Cyber-security management and incident planning</v>
      </c>
      <c r="BG42" t="str">
        <f t="shared" si="90"/>
        <v>References</v>
      </c>
      <c r="BH42" t="str">
        <f t="shared" si="91"/>
        <v>3.1.2.RX</v>
      </c>
      <c r="BI42" t="str">
        <f>IF(AND(BE42&lt;&gt;"",LEFT(BE42,1)&lt;&gt;"#"),IF(LEFT(BE42,1)="-",REPLACE(BE42,1,1,tech!$H$2),BE42),"")</f>
        <v/>
      </c>
      <c r="BJ42" t="s">
        <v>495</v>
      </c>
      <c r="BK42" s="492"/>
      <c r="BL42" t="str">
        <f t="shared" si="92"/>
        <v>Maintain PKI interoperability strategy</v>
      </c>
      <c r="BM42" t="str">
        <f t="shared" si="93"/>
        <v>References</v>
      </c>
      <c r="BN42" t="str">
        <f t="shared" si="94"/>
        <v>3.2.1.RX</v>
      </c>
      <c r="BO42" t="str">
        <f>IF(AND(BK42&lt;&gt;"",LEFT(BK42,1)&lt;&gt;"#"),IF(LEFT(BK42,1)="-",REPLACE(BK42,1,1,tech!$H$2),BK42),"")</f>
        <v/>
      </c>
      <c r="BP42" t="s">
        <v>495</v>
      </c>
      <c r="BQ42" s="492" t="s">
        <v>504</v>
      </c>
      <c r="BR42" t="str">
        <f t="shared" si="95"/>
        <v>Monitoring events and logging requirements are defined and documented</v>
      </c>
      <c r="BS42" t="str">
        <f t="shared" si="96"/>
        <v>References</v>
      </c>
      <c r="BT42" t="str">
        <f t="shared" si="97"/>
        <v>3.3.1.RY</v>
      </c>
      <c r="BU42" t="str">
        <f>IF(AND(BQ42&lt;&gt;"",LEFT(BQ42,1)&lt;&gt;"#"),IF(LEFT(BQ42,1)="-",REPLACE(BQ42,1,1,tech!$H$2),BQ42),"")</f>
        <v>• [ISO/IEC 27001 - Information security management systems](https://www.iso.org/standard/54534.html)</v>
      </c>
      <c r="BV42" t="s">
        <v>495</v>
      </c>
      <c r="BW42" s="492" t="s">
        <v>503</v>
      </c>
      <c r="BX42" t="str">
        <f t="shared" si="98"/>
        <v>Process automation description</v>
      </c>
      <c r="BY42" t="str">
        <f t="shared" si="99"/>
        <v>References</v>
      </c>
      <c r="BZ42" t="str">
        <f t="shared" si="100"/>
        <v>3.4.1.RX</v>
      </c>
      <c r="CA42" t="str">
        <f>IF(AND(BW42&lt;&gt;"",LEFT(BW42,1)&lt;&gt;"#"),IF(LEFT(BW42,1)="-",REPLACE(BW42,1,1,tech!$H$2),BW42),"")</f>
        <v/>
      </c>
      <c r="CB42" t="s">
        <v>495</v>
      </c>
      <c r="CC42" s="492" t="s">
        <v>1466</v>
      </c>
      <c r="CD42" t="str">
        <f t="shared" si="101"/>
        <v>Resources are clearly defined</v>
      </c>
      <c r="CE42" t="str">
        <f t="shared" si="102"/>
        <v>Guidance</v>
      </c>
      <c r="CF42" t="str">
        <f t="shared" si="103"/>
        <v>4.1.2.GY</v>
      </c>
      <c r="CG42" t="str">
        <f>IF(AND(CC42&lt;&gt;"",LEFT(CC42,1)&lt;&gt;"#"),IF(LEFT(CC42,1)="-",REPLACE(CC42,1,1,tech!$H$2),CC42),"")</f>
        <v>• Technologies: required functionality and performance</v>
      </c>
      <c r="CH42" t="s">
        <v>495</v>
      </c>
      <c r="CI42" s="492" t="s">
        <v>1331</v>
      </c>
      <c r="CJ42" t="str">
        <f t="shared" si="104"/>
        <v>Establish training plan</v>
      </c>
      <c r="CK42" t="str">
        <f t="shared" si="105"/>
        <v>Assessment</v>
      </c>
      <c r="CL42" t="str">
        <f t="shared" si="106"/>
        <v>4.2.1.AY</v>
      </c>
      <c r="CM42" t="str">
        <f>IF(AND(CI42&lt;&gt;"",LEFT(CI42,1)&lt;&gt;"#"),IF(LEFT(CI42,1)="-",REPLACE(CI42,1,1,tech!$H$2),CI42),"")</f>
        <v>• Training plan is up-to-Date</v>
      </c>
      <c r="CN42" t="s">
        <v>495</v>
      </c>
      <c r="CO42" s="492" t="s">
        <v>1370</v>
      </c>
      <c r="CP42" t="str">
        <f t="shared" si="107"/>
        <v>Establish and maintain awareness plan</v>
      </c>
      <c r="CQ42" t="str">
        <f t="shared" si="108"/>
        <v>References</v>
      </c>
      <c r="CR42" t="str">
        <f t="shared" si="109"/>
        <v>4.3.1.RY</v>
      </c>
      <c r="CS42" t="str">
        <f>IF(AND(CO42&lt;&gt;"",LEFT(CO42,1)&lt;&gt;"#"),IF(LEFT(CO42,1)="-",REPLACE(CO42,1,1,tech!$H$2),CO42),"")</f>
        <v xml:space="preserve">• </v>
      </c>
      <c r="CT42" t="s">
        <v>495</v>
      </c>
    </row>
    <row r="43" spans="3:98" x14ac:dyDescent="0.25">
      <c r="C43" s="492" t="s">
        <v>463</v>
      </c>
      <c r="D43" t="str">
        <f t="shared" si="64"/>
        <v>Basic</v>
      </c>
      <c r="E43" t="str">
        <f t="shared" si="110"/>
        <v>Associated risks</v>
      </c>
      <c r="F43" t="str">
        <f>_xlfn.CONCAT(VLOOKUP(D43,tech!$A$13:$B$17,2,0),LEFT(E43,1),IF(G43="","X","Y"))</f>
        <v>2AY</v>
      </c>
      <c r="G43" t="str">
        <f>IF(IF(LEFT(C43,1)="-",C43,"")="","",REPLACE(IF(LEFT(C43,1)="-",C43,""),1,1,tech!$H$2))</f>
        <v>• Medium probability of compromise</v>
      </c>
      <c r="H43" t="s">
        <v>495</v>
      </c>
      <c r="I43" s="492"/>
      <c r="J43" t="str">
        <f t="shared" si="65"/>
        <v>Formal assignment of responsible leadership</v>
      </c>
      <c r="K43" t="str">
        <f t="shared" si="66"/>
        <v>Guidance</v>
      </c>
      <c r="L43" t="str">
        <f t="shared" si="67"/>
        <v>1.1.2.GX</v>
      </c>
      <c r="M43" t="str">
        <f>IF(AND(I43&lt;&gt;"",LEFT(I43,1)&lt;&gt;"#"),IF(LEFT(I43,1)="-",REPLACE(I43,1,1,tech!$H$2),I43),"")</f>
        <v/>
      </c>
      <c r="N43" t="s">
        <v>495</v>
      </c>
      <c r="O43" s="492"/>
      <c r="P43" t="str">
        <f t="shared" si="68"/>
        <v>Certificate policy is documented and published</v>
      </c>
      <c r="Q43" t="str">
        <f t="shared" si="69"/>
        <v>References</v>
      </c>
      <c r="R43" t="str">
        <f t="shared" si="70"/>
        <v>1.2.2.RX</v>
      </c>
      <c r="S43" t="str">
        <f>IF(AND(O43&lt;&gt;"",LEFT(O43,1)&lt;&gt;"#"),IF(LEFT(O43,1)="-",REPLACE(O43,1,1,tech!$H$2),O43),"")</f>
        <v/>
      </c>
      <c r="T43" t="s">
        <v>495</v>
      </c>
      <c r="U43" s="492" t="s">
        <v>625</v>
      </c>
      <c r="V43" t="str">
        <f t="shared" si="71"/>
        <v>Compliance policies are defined, implemented, and communicated</v>
      </c>
      <c r="W43" t="str">
        <f t="shared" si="72"/>
        <v>References</v>
      </c>
      <c r="X43" t="str">
        <f t="shared" si="73"/>
        <v>1.3.1.RY</v>
      </c>
      <c r="Y43" t="str">
        <f>IF(AND(U43&lt;&gt;"",LEFT(U43,1)&lt;&gt;"#"),IF(LEFT(U43,1)="-",REPLACE(U43,1,1,tech!$H$2),U43),"")</f>
        <v>• [ISO 37301 - Compliance management systems and related standard](https://www.iso.org/standard/75080.html)</v>
      </c>
      <c r="Z43" t="s">
        <v>495</v>
      </c>
      <c r="AA43" s="492" t="s">
        <v>665</v>
      </c>
      <c r="AB43" t="str">
        <f t="shared" si="74"/>
        <v>Processes and procedures are formally documented and followed</v>
      </c>
      <c r="AC43" t="str">
        <f t="shared" si="75"/>
        <v>Guidance</v>
      </c>
      <c r="AD43" t="str">
        <f t="shared" si="76"/>
        <v>1.4.2.GY</v>
      </c>
      <c r="AE43" t="str">
        <f>IF(AND(AA43&lt;&gt;"",LEFT(AA43,1)&lt;&gt;"#"),IF(LEFT(AA43,1)="-",REPLACE(AA43,1,1,tech!$H$2),AA43),"")</f>
        <v>Identified processes and procedures needs to be properly designed and documented with all relevant information like scope, purpose, inputs, outputs, roles and responsibilities, and other. The processes and procedures should be also reviewed and approved by the management.</v>
      </c>
      <c r="AF43" t="s">
        <v>495</v>
      </c>
      <c r="AG43" s="492"/>
      <c r="AH43" t="str">
        <f t="shared" si="77"/>
        <v>Key management roles and responsibilities are documented and formally assigned</v>
      </c>
      <c r="AI43" t="str">
        <f t="shared" si="78"/>
        <v>References</v>
      </c>
      <c r="AJ43" t="str">
        <f t="shared" si="79"/>
        <v>2.1.1.RX</v>
      </c>
      <c r="AK43" t="str">
        <f>IF(AND(AG43&lt;&gt;"",LEFT(AG43,1)&lt;&gt;"#"),IF(LEFT(AG43,1)="-",REPLACE(AG43,1,1,tech!$H$2),AG43),"")</f>
        <v/>
      </c>
      <c r="AL43" t="s">
        <v>495</v>
      </c>
      <c r="AM43" s="492" t="s">
        <v>794</v>
      </c>
      <c r="AN43" t="str">
        <f t="shared" si="80"/>
        <v>Certificate profiles are documented</v>
      </c>
      <c r="AO43" t="str">
        <f t="shared" si="81"/>
        <v>References</v>
      </c>
      <c r="AP43" t="str">
        <f t="shared" si="82"/>
        <v>2.2.1.RY</v>
      </c>
      <c r="AQ43" t="str">
        <f>IF(AND(AM43&lt;&gt;"",LEFT(AM43,1)&lt;&gt;"#"),IF(LEFT(AM43,1)="-",REPLACE(AM43,1,1,tech!$H$2),AM43),"")</f>
        <v>* [CA/B Forum baseline requirements](https://cabforum.org/baseline-requirements/)</v>
      </c>
      <c r="AR43" t="s">
        <v>495</v>
      </c>
      <c r="AS43" s="492"/>
      <c r="AT43" t="str">
        <f t="shared" si="83"/>
        <v>Network and deployment infrastructure is documented</v>
      </c>
      <c r="AU43" t="str">
        <f t="shared" si="84"/>
        <v>References</v>
      </c>
      <c r="AV43" t="str">
        <f t="shared" si="85"/>
        <v>2.3.1.RX</v>
      </c>
      <c r="AW43" t="str">
        <f>IF(AND(AS43&lt;&gt;"",LEFT(AS43,1)&lt;&gt;"#"),IF(LEFT(AS43,1)="-",REPLACE(AS43,1,1,tech!$H$2),AS43),"")</f>
        <v/>
      </c>
      <c r="AX43" t="s">
        <v>495</v>
      </c>
      <c r="AY43" s="492"/>
      <c r="AZ43" t="str">
        <f t="shared" si="86"/>
        <v>The policy for change management and agility is documented</v>
      </c>
      <c r="BA43" t="str">
        <f t="shared" si="87"/>
        <v>References</v>
      </c>
      <c r="BB43" t="str">
        <f t="shared" si="88"/>
        <v>2.4.1.RX</v>
      </c>
      <c r="BC43" t="str">
        <f>IF(AND(AY43&lt;&gt;"",LEFT(AY43,1)&lt;&gt;"#"),IF(LEFT(AY43,1)="-",REPLACE(AY43,1,1,tech!$H$2),AY43),"")</f>
        <v/>
      </c>
      <c r="BD43" t="s">
        <v>495</v>
      </c>
      <c r="BE43" s="492" t="s">
        <v>498</v>
      </c>
      <c r="BF43" t="str">
        <f t="shared" si="89"/>
        <v>Cyber-security management and incident planning</v>
      </c>
      <c r="BG43" t="str">
        <f t="shared" si="90"/>
        <v>Guidance</v>
      </c>
      <c r="BH43" t="str">
        <f t="shared" si="91"/>
        <v>3.1.2.GX</v>
      </c>
      <c r="BI43" t="str">
        <f>IF(AND(BE43&lt;&gt;"",LEFT(BE43,1)&lt;&gt;"#"),IF(LEFT(BE43,1)="-",REPLACE(BE43,1,1,tech!$H$2),BE43),"")</f>
        <v/>
      </c>
      <c r="BJ43" t="s">
        <v>495</v>
      </c>
      <c r="BK43" s="492" t="s">
        <v>513</v>
      </c>
      <c r="BL43" t="str">
        <f t="shared" si="92"/>
        <v>Maintain PKI interoperability strategy</v>
      </c>
      <c r="BM43" t="str">
        <f t="shared" si="93"/>
        <v>References</v>
      </c>
      <c r="BN43" t="str">
        <f t="shared" si="94"/>
        <v>3.2.1.RY</v>
      </c>
      <c r="BO43" t="str">
        <f>IF(AND(BK43&lt;&gt;"",LEFT(BK43,1)&lt;&gt;"#"),IF(LEFT(BK43,1)="-",REPLACE(BK43,1,1,tech!$H$2),BK43),"")</f>
        <v>• [The Open Group Architecture Framework (TOGAF)](https://www.opengroup.org/togaf)</v>
      </c>
      <c r="BP43" t="s">
        <v>495</v>
      </c>
      <c r="BQ43" s="492" t="s">
        <v>896</v>
      </c>
      <c r="BR43" t="str">
        <f t="shared" si="95"/>
        <v>Monitoring events and logging requirements are defined and documented</v>
      </c>
      <c r="BS43" t="str">
        <f t="shared" si="96"/>
        <v>References</v>
      </c>
      <c r="BT43" t="str">
        <f t="shared" si="97"/>
        <v>3.3.1.RY</v>
      </c>
      <c r="BU43" t="str">
        <f>IF(AND(BQ43&lt;&gt;"",LEFT(BQ43,1)&lt;&gt;"#"),IF(LEFT(BQ43,1)="-",REPLACE(BQ43,1,1,tech!$H$2),BQ43),"")</f>
        <v>• [ISO/IEC 20000 and related standards](https://www.iso.org/standard/70636.html)</v>
      </c>
      <c r="BV43" t="s">
        <v>495</v>
      </c>
      <c r="BW43" s="492"/>
      <c r="BX43" t="str">
        <f t="shared" si="98"/>
        <v>Process automation description</v>
      </c>
      <c r="BY43" t="str">
        <f t="shared" si="99"/>
        <v>References</v>
      </c>
      <c r="BZ43" t="str">
        <f t="shared" si="100"/>
        <v>3.4.1.RX</v>
      </c>
      <c r="CA43" t="str">
        <f>IF(AND(BW43&lt;&gt;"",LEFT(BW43,1)&lt;&gt;"#"),IF(LEFT(BW43,1)="-",REPLACE(BW43,1,1,tech!$H$2),BW43),"")</f>
        <v/>
      </c>
      <c r="CB43" t="s">
        <v>495</v>
      </c>
      <c r="CC43" s="492" t="s">
        <v>1262</v>
      </c>
      <c r="CD43" t="str">
        <f t="shared" si="101"/>
        <v>Resources are clearly defined</v>
      </c>
      <c r="CE43" t="str">
        <f t="shared" si="102"/>
        <v>Guidance</v>
      </c>
      <c r="CF43" t="str">
        <f t="shared" si="103"/>
        <v>4.1.2.GY</v>
      </c>
      <c r="CG43" t="str">
        <f>IF(AND(CC43&lt;&gt;"",LEFT(CC43,1)&lt;&gt;"#"),IF(LEFT(CC43,1)="-",REPLACE(CC43,1,1,tech!$H$2),CC43),"")</f>
        <v>• Financial resources: required budget, funding sources</v>
      </c>
      <c r="CH43" t="s">
        <v>495</v>
      </c>
      <c r="CI43" s="492" t="s">
        <v>1332</v>
      </c>
      <c r="CJ43" t="str">
        <f t="shared" si="104"/>
        <v>Establish training plan</v>
      </c>
      <c r="CK43" t="str">
        <f t="shared" si="105"/>
        <v>Assessment</v>
      </c>
      <c r="CL43" t="str">
        <f t="shared" si="106"/>
        <v>4.2.1.AY</v>
      </c>
      <c r="CM43" t="str">
        <f>IF(AND(CI43&lt;&gt;"",LEFT(CI43,1)&lt;&gt;"#"),IF(LEFT(CI43,1)="-",REPLACE(CI43,1,1,tech!$H$2),CI43),"")</f>
        <v>• Training plan is approved and communicated to all personnel</v>
      </c>
      <c r="CN43" t="s">
        <v>495</v>
      </c>
      <c r="CO43" s="492" t="s">
        <v>1371</v>
      </c>
      <c r="CP43" t="str">
        <f t="shared" si="107"/>
        <v>Disclose PKI information</v>
      </c>
      <c r="CQ43" t="str">
        <f t="shared" si="108"/>
        <v>References</v>
      </c>
      <c r="CR43" t="str">
        <f t="shared" si="109"/>
        <v>4.3.2.RX</v>
      </c>
      <c r="CS43" t="str">
        <f>IF(AND(CO43&lt;&gt;"",LEFT(CO43,1)&lt;&gt;"#"),IF(LEFT(CO43,1)="-",REPLACE(CO43,1,1,tech!$H$2),CO43),"")</f>
        <v/>
      </c>
      <c r="CT43" t="s">
        <v>495</v>
      </c>
    </row>
    <row r="44" spans="3:98" x14ac:dyDescent="0.25">
      <c r="C44" s="492" t="s">
        <v>459</v>
      </c>
      <c r="D44" t="str">
        <f t="shared" si="64"/>
        <v>Basic</v>
      </c>
      <c r="E44" t="str">
        <f t="shared" si="110"/>
        <v>Associated risks</v>
      </c>
      <c r="F44" t="str">
        <f>_xlfn.CONCAT(VLOOKUP(D44,tech!$A$13:$B$17,2,0),LEFT(E44,1),IF(G44="","X","Y"))</f>
        <v>2AY</v>
      </c>
      <c r="G44" t="str">
        <f>IF(IF(LEFT(C44,1)="-",C44,"")="","",REPLACE(IF(LEFT(C44,1)="-",C44,""),1,1,tech!$H$2))</f>
        <v>• no trust</v>
      </c>
      <c r="H44" t="s">
        <v>495</v>
      </c>
      <c r="I44" s="492" t="s">
        <v>501</v>
      </c>
      <c r="J44" t="str">
        <f t="shared" si="65"/>
        <v>Formal assignment of responsible leadership</v>
      </c>
      <c r="K44" t="str">
        <f t="shared" si="66"/>
        <v>Assessment</v>
      </c>
      <c r="L44" t="str">
        <f t="shared" si="67"/>
        <v>1.1.2.AX</v>
      </c>
      <c r="M44" t="str">
        <f>IF(AND(I44&lt;&gt;"",LEFT(I44,1)&lt;&gt;"#"),IF(LEFT(I44,1)="-",REPLACE(I44,1,1,tech!$H$2),I44),"")</f>
        <v/>
      </c>
      <c r="N44" t="s">
        <v>495</v>
      </c>
      <c r="O44" s="492" t="s">
        <v>498</v>
      </c>
      <c r="P44" t="str">
        <f t="shared" si="68"/>
        <v>Certificate policy is documented and published</v>
      </c>
      <c r="Q44" t="str">
        <f t="shared" si="69"/>
        <v>Guidance</v>
      </c>
      <c r="R44" t="str">
        <f t="shared" si="70"/>
        <v>1.2.2.GX</v>
      </c>
      <c r="S44" t="str">
        <f>IF(AND(O44&lt;&gt;"",LEFT(O44,1)&lt;&gt;"#"),IF(LEFT(O44,1)="-",REPLACE(O44,1,1,tech!$H$2),O44),"")</f>
        <v/>
      </c>
      <c r="T44" t="s">
        <v>495</v>
      </c>
      <c r="U44" s="492" t="s">
        <v>626</v>
      </c>
      <c r="V44" t="str">
        <f t="shared" si="71"/>
        <v>Compliance policies are defined, implemented, and communicated</v>
      </c>
      <c r="W44" t="str">
        <f t="shared" si="72"/>
        <v>References</v>
      </c>
      <c r="X44" t="str">
        <f t="shared" si="73"/>
        <v>1.3.1.RY</v>
      </c>
      <c r="Y44" t="str">
        <f>IF(AND(U44&lt;&gt;"",LEFT(U44,1)&lt;&gt;"#"),IF(LEFT(U44,1)="-",REPLACE(U44,1,1,tech!$H$2),U44),"")</f>
        <v>• [NIST Risk Management Framework](https://csrc.nist.gov/Projects/risk-management)</v>
      </c>
      <c r="Z44" t="s">
        <v>495</v>
      </c>
      <c r="AA44" s="492"/>
      <c r="AB44" t="str">
        <f t="shared" si="74"/>
        <v>Processes and procedures are formally documented and followed</v>
      </c>
      <c r="AC44" t="str">
        <f t="shared" si="75"/>
        <v>Guidance</v>
      </c>
      <c r="AD44" t="str">
        <f t="shared" si="76"/>
        <v>1.4.2.GY</v>
      </c>
      <c r="AE44" t="str">
        <f>IF(AND(AA44&lt;&gt;"",LEFT(AA44,1)&lt;&gt;"#"),IF(LEFT(AA44,1)="-",REPLACE(AA44,1,1,tech!$H$2),AA44),"")</f>
        <v/>
      </c>
      <c r="AF44" t="s">
        <v>495</v>
      </c>
      <c r="AG44" s="492" t="s">
        <v>708</v>
      </c>
      <c r="AH44" t="str">
        <f t="shared" si="77"/>
        <v>Inventory of cryptographic keys is documented and maintained</v>
      </c>
      <c r="AI44" t="str">
        <f t="shared" si="78"/>
        <v>References</v>
      </c>
      <c r="AJ44" t="str">
        <f t="shared" si="79"/>
        <v>2.1.2.RX</v>
      </c>
      <c r="AK44" t="str">
        <f>IF(AND(AG44&lt;&gt;"",LEFT(AG44,1)&lt;&gt;"#"),IF(LEFT(AG44,1)="-",REPLACE(AG44,1,1,tech!$H$2),AG44),"")</f>
        <v/>
      </c>
      <c r="AL44" t="s">
        <v>495</v>
      </c>
      <c r="AM44" s="492" t="s">
        <v>795</v>
      </c>
      <c r="AN44" t="str">
        <f t="shared" si="80"/>
        <v>Certificate profiles are documented</v>
      </c>
      <c r="AO44" t="str">
        <f t="shared" si="81"/>
        <v>References</v>
      </c>
      <c r="AP44" t="str">
        <f t="shared" si="82"/>
        <v>2.2.1.RY</v>
      </c>
      <c r="AQ44" t="str">
        <f>IF(AND(AM44&lt;&gt;"",LEFT(AM44,1)&lt;&gt;"#"),IF(LEFT(AM44,1)="-",REPLACE(AM44,1,1,tech!$H$2),AM44),"")</f>
        <v>* [ETSI Qualified Certificate Profiles](https://portal.etsi.org/TB-SiteMap/ESI/Trust-Service-Providers)</v>
      </c>
      <c r="AR44" t="s">
        <v>495</v>
      </c>
      <c r="AS44" s="492" t="s">
        <v>896</v>
      </c>
      <c r="AT44" t="str">
        <f t="shared" si="83"/>
        <v>Network and deployment infrastructure is documented</v>
      </c>
      <c r="AU44" t="str">
        <f t="shared" si="84"/>
        <v>References</v>
      </c>
      <c r="AV44" t="str">
        <f t="shared" si="85"/>
        <v>2.3.1.RY</v>
      </c>
      <c r="AW44" t="str">
        <f>IF(AND(AS44&lt;&gt;"",LEFT(AS44,1)&lt;&gt;"#"),IF(LEFT(AS44,1)="-",REPLACE(AS44,1,1,tech!$H$2),AS44),"")</f>
        <v>• [ISO/IEC 20000 and related standards](https://www.iso.org/standard/70636.html)</v>
      </c>
      <c r="AX44" t="s">
        <v>495</v>
      </c>
      <c r="AY44" s="492" t="s">
        <v>964</v>
      </c>
      <c r="AZ44" t="str">
        <f t="shared" si="86"/>
        <v>The policy for change management and agility is documented</v>
      </c>
      <c r="BA44" t="str">
        <f t="shared" si="87"/>
        <v>References</v>
      </c>
      <c r="BB44" t="str">
        <f t="shared" si="88"/>
        <v>2.4.1.RY</v>
      </c>
      <c r="BC44" t="str">
        <f>IF(AND(AY44&lt;&gt;"",LEFT(AY44,1)&lt;&gt;"#"),IF(LEFT(AY44,1)="-",REPLACE(AY44,1,1,tech!$H$2),AY44),"")</f>
        <v>• [COBIT (Control Objectives for Information and Related Technologies)](https://www.isaca.org/resources/cobit)</v>
      </c>
      <c r="BD44" t="s">
        <v>495</v>
      </c>
      <c r="BE44" s="492"/>
      <c r="BF44" t="str">
        <f t="shared" si="89"/>
        <v>Cyber-security management and incident planning</v>
      </c>
      <c r="BG44" t="str">
        <f t="shared" si="90"/>
        <v>Guidance</v>
      </c>
      <c r="BH44" t="str">
        <f t="shared" si="91"/>
        <v>3.1.2.GX</v>
      </c>
      <c r="BI44" t="str">
        <f>IF(AND(BE44&lt;&gt;"",LEFT(BE44,1)&lt;&gt;"#"),IF(LEFT(BE44,1)="-",REPLACE(BE44,1,1,tech!$H$2),BE44),"")</f>
        <v/>
      </c>
      <c r="BJ44" t="s">
        <v>495</v>
      </c>
      <c r="BK44" s="492"/>
      <c r="BL44" t="str">
        <f t="shared" si="92"/>
        <v>Maintain PKI interoperability strategy</v>
      </c>
      <c r="BM44" t="str">
        <f t="shared" si="93"/>
        <v>References</v>
      </c>
      <c r="BN44" t="str">
        <f t="shared" si="94"/>
        <v>3.2.1.RX</v>
      </c>
      <c r="BO44" t="str">
        <f>IF(AND(BK44&lt;&gt;"",LEFT(BK44,1)&lt;&gt;"#"),IF(LEFT(BK44,1)="-",REPLACE(BK44,1,1,tech!$H$2),BK44),"")</f>
        <v/>
      </c>
      <c r="BP44" t="s">
        <v>495</v>
      </c>
      <c r="BQ44" s="492" t="s">
        <v>1146</v>
      </c>
      <c r="BR44" t="str">
        <f t="shared" si="95"/>
        <v>Monitoring events and logging requirements are defined and documented</v>
      </c>
      <c r="BS44" t="str">
        <f t="shared" si="96"/>
        <v>References</v>
      </c>
      <c r="BT44" t="str">
        <f t="shared" si="97"/>
        <v>3.3.1.RY</v>
      </c>
      <c r="BU44" t="str">
        <f>IF(AND(BQ44&lt;&gt;"",LEFT(BQ44,1)&lt;&gt;"#"),IF(LEFT(BQ44,1)="-",REPLACE(BQ44,1,1,tech!$H$2),BQ44),"")</f>
        <v>• [ISO/IEC 27099 - Public key infrastructure](https://www.iso.org/standard/56590.html)</v>
      </c>
      <c r="BV44" t="s">
        <v>495</v>
      </c>
      <c r="BW44" s="492" t="s">
        <v>55</v>
      </c>
      <c r="BX44" t="str">
        <f t="shared" si="98"/>
        <v>Process automation description</v>
      </c>
      <c r="BY44" t="str">
        <f t="shared" si="99"/>
        <v>References</v>
      </c>
      <c r="BZ44" t="str">
        <f t="shared" si="100"/>
        <v>3.4.1.RY</v>
      </c>
      <c r="CA44" t="str">
        <f>IF(AND(BW44&lt;&gt;"",LEFT(BW44,1)&lt;&gt;"#"),IF(LEFT(BW44,1)="-",REPLACE(BW44,1,1,tech!$H$2),BW44),"")</f>
        <v>N/A</v>
      </c>
      <c r="CB44" t="s">
        <v>495</v>
      </c>
      <c r="CC44" s="492" t="s">
        <v>1263</v>
      </c>
      <c r="CD44" t="str">
        <f t="shared" si="101"/>
        <v>Resources are clearly defined</v>
      </c>
      <c r="CE44" t="str">
        <f t="shared" si="102"/>
        <v>Guidance</v>
      </c>
      <c r="CF44" t="str">
        <f t="shared" si="103"/>
        <v>4.1.2.GY</v>
      </c>
      <c r="CG44" t="str">
        <f>IF(AND(CC44&lt;&gt;"",LEFT(CC44,1)&lt;&gt;"#"),IF(LEFT(CC44,1)="-",REPLACE(CC44,1,1,tech!$H$2),CC44),"")</f>
        <v>• Management resources: processes and procedures, inputs, outputs</v>
      </c>
      <c r="CH44" t="s">
        <v>495</v>
      </c>
      <c r="CI44" s="492" t="s">
        <v>1333</v>
      </c>
      <c r="CJ44" t="str">
        <f t="shared" si="104"/>
        <v>Establish training plan</v>
      </c>
      <c r="CK44" t="str">
        <f t="shared" si="105"/>
        <v>Assessment</v>
      </c>
      <c r="CL44" t="str">
        <f t="shared" si="106"/>
        <v>4.2.1.AY</v>
      </c>
      <c r="CM44" t="str">
        <f>IF(AND(CI44&lt;&gt;"",LEFT(CI44,1)&lt;&gt;"#"),IF(LEFT(CI44,1)="-",REPLACE(CI44,1,1,tech!$H$2),CI44),"")</f>
        <v>• Training plan is integrated in organization</v>
      </c>
      <c r="CN44" t="s">
        <v>495</v>
      </c>
      <c r="CO44" s="492"/>
      <c r="CP44" t="str">
        <f t="shared" si="107"/>
        <v>Disclose PKI information</v>
      </c>
      <c r="CQ44" t="str">
        <f t="shared" si="108"/>
        <v>References</v>
      </c>
      <c r="CR44" t="str">
        <f t="shared" si="109"/>
        <v>4.3.2.RX</v>
      </c>
      <c r="CS44" t="str">
        <f>IF(AND(CO44&lt;&gt;"",LEFT(CO44,1)&lt;&gt;"#"),IF(LEFT(CO44,1)="-",REPLACE(CO44,1,1,tech!$H$2),CO44),"")</f>
        <v/>
      </c>
      <c r="CT44" t="s">
        <v>495</v>
      </c>
    </row>
    <row r="45" spans="3:98" x14ac:dyDescent="0.25">
      <c r="C45" s="492"/>
      <c r="D45" t="str">
        <f t="shared" si="64"/>
        <v>Basic</v>
      </c>
      <c r="E45" t="str">
        <f t="shared" si="110"/>
        <v>Associated risks</v>
      </c>
      <c r="F45" t="str">
        <f>_xlfn.CONCAT(VLOOKUP(D45,tech!$A$13:$B$17,2,0),LEFT(E45,1),IF(G45="","X","Y"))</f>
        <v>2AX</v>
      </c>
      <c r="G45" t="str">
        <f>IF(IF(LEFT(C45,1)="-",C45,"")="","",REPLACE(IF(LEFT(C45,1)="-",C45,""),1,1,tech!$H$2))</f>
        <v/>
      </c>
      <c r="H45" t="s">
        <v>495</v>
      </c>
      <c r="I45" s="492"/>
      <c r="J45" t="str">
        <f t="shared" si="65"/>
        <v>Formal assignment of responsible leadership</v>
      </c>
      <c r="K45" t="str">
        <f t="shared" si="66"/>
        <v>Assessment</v>
      </c>
      <c r="L45" t="str">
        <f t="shared" si="67"/>
        <v>1.1.2.AX</v>
      </c>
      <c r="M45" t="str">
        <f>IF(AND(I45&lt;&gt;"",LEFT(I45,1)&lt;&gt;"#"),IF(LEFT(I45,1)="-",REPLACE(I45,1,1,tech!$H$2),I45),"")</f>
        <v/>
      </c>
      <c r="N45" t="s">
        <v>495</v>
      </c>
      <c r="O45" s="492"/>
      <c r="P45" t="str">
        <f t="shared" si="68"/>
        <v>Certificate policy is documented and published</v>
      </c>
      <c r="Q45" t="str">
        <f t="shared" si="69"/>
        <v>Guidance</v>
      </c>
      <c r="R45" t="str">
        <f t="shared" si="70"/>
        <v>1.2.2.GX</v>
      </c>
      <c r="S45" t="str">
        <f>IF(AND(O45&lt;&gt;"",LEFT(O45,1)&lt;&gt;"#"),IF(LEFT(O45,1)="-",REPLACE(O45,1,1,tech!$H$2),O45),"")</f>
        <v/>
      </c>
      <c r="T45" t="s">
        <v>495</v>
      </c>
      <c r="U45" s="492"/>
      <c r="V45" t="str">
        <f t="shared" si="71"/>
        <v>Compliance policies are defined, implemented, and communicated</v>
      </c>
      <c r="W45" t="str">
        <f t="shared" si="72"/>
        <v>References</v>
      </c>
      <c r="X45" t="str">
        <f t="shared" si="73"/>
        <v>1.3.1.RX</v>
      </c>
      <c r="Y45" t="str">
        <f>IF(AND(U45&lt;&gt;"",LEFT(U45,1)&lt;&gt;"#"),IF(LEFT(U45,1)="-",REPLACE(U45,1,1,tech!$H$2),U45),"")</f>
        <v/>
      </c>
      <c r="Z45" t="s">
        <v>495</v>
      </c>
      <c r="AA45" s="492" t="s">
        <v>666</v>
      </c>
      <c r="AB45" t="str">
        <f t="shared" si="74"/>
        <v>Processes and procedures are formally documented and followed</v>
      </c>
      <c r="AC45" t="str">
        <f t="shared" si="75"/>
        <v>Guidance</v>
      </c>
      <c r="AD45" t="str">
        <f t="shared" si="76"/>
        <v>1.4.2.GY</v>
      </c>
      <c r="AE45" t="str">
        <f>IF(AND(AA45&lt;&gt;"",LEFT(AA45,1)&lt;&gt;"#"),IF(LEFT(AA45,1)="-",REPLACE(AA45,1,1,tech!$H$2),AA45),"")</f>
        <v>Once the processes and procedures are published, appropriate training is required to ensure they are followed by the PKI management and staff. Without following the processes and procedures, the PKI can be exposed to the risks and threats, and eventually lose any established trust.</v>
      </c>
      <c r="AF45" t="s">
        <v>495</v>
      </c>
      <c r="AG45" s="492"/>
      <c r="AH45" t="str">
        <f t="shared" si="77"/>
        <v>Inventory of cryptographic keys is documented and maintained</v>
      </c>
      <c r="AI45" t="str">
        <f t="shared" si="78"/>
        <v>References</v>
      </c>
      <c r="AJ45" t="str">
        <f t="shared" si="79"/>
        <v>2.1.2.RX</v>
      </c>
      <c r="AK45" t="str">
        <f>IF(AND(AG45&lt;&gt;"",LEFT(AG45,1)&lt;&gt;"#"),IF(LEFT(AG45,1)="-",REPLACE(AG45,1,1,tech!$H$2),AG45),"")</f>
        <v/>
      </c>
      <c r="AL45" t="s">
        <v>495</v>
      </c>
      <c r="AM45" s="492" t="s">
        <v>796</v>
      </c>
      <c r="AN45" t="str">
        <f t="shared" si="80"/>
        <v>Certificate profiles are documented</v>
      </c>
      <c r="AO45" t="str">
        <f t="shared" si="81"/>
        <v>References</v>
      </c>
      <c r="AP45" t="str">
        <f t="shared" si="82"/>
        <v>2.2.1.RY</v>
      </c>
      <c r="AQ45" t="str">
        <f>IF(AND(AM45&lt;&gt;"",LEFT(AM45,1)&lt;&gt;"#"),IF(LEFT(AM45,1)="-",REPLACE(AM45,1,1,tech!$H$2),AM45),"")</f>
        <v>* [ETSI 319-411-1](https://www.etsi.org/deliver/etsi_en/319400_319499/31941101/01.03.01_60/en_31941101v010301p.pdf)</v>
      </c>
      <c r="AR45" t="s">
        <v>495</v>
      </c>
      <c r="AS45" s="492" t="s">
        <v>504</v>
      </c>
      <c r="AT45" t="str">
        <f t="shared" si="83"/>
        <v>Network and deployment infrastructure is documented</v>
      </c>
      <c r="AU45" t="str">
        <f t="shared" si="84"/>
        <v>References</v>
      </c>
      <c r="AV45" t="str">
        <f t="shared" si="85"/>
        <v>2.3.1.RY</v>
      </c>
      <c r="AW45" t="str">
        <f>IF(AND(AS45&lt;&gt;"",LEFT(AS45,1)&lt;&gt;"#"),IF(LEFT(AS45,1)="-",REPLACE(AS45,1,1,tech!$H$2),AS45),"")</f>
        <v>• [ISO/IEC 27001 - Information security management systems](https://www.iso.org/standard/54534.html)</v>
      </c>
      <c r="AX45" t="s">
        <v>495</v>
      </c>
      <c r="AY45" s="492" t="s">
        <v>896</v>
      </c>
      <c r="AZ45" t="str">
        <f t="shared" si="86"/>
        <v>The policy for change management and agility is documented</v>
      </c>
      <c r="BA45" t="str">
        <f t="shared" si="87"/>
        <v>References</v>
      </c>
      <c r="BB45" t="str">
        <f t="shared" si="88"/>
        <v>2.4.1.RY</v>
      </c>
      <c r="BC45" t="str">
        <f>IF(AND(AY45&lt;&gt;"",LEFT(AY45,1)&lt;&gt;"#"),IF(LEFT(AY45,1)="-",REPLACE(AY45,1,1,tech!$H$2),AY45),"")</f>
        <v>• [ISO/IEC 20000 and related standards](https://www.iso.org/standard/70636.html)</v>
      </c>
      <c r="BD45" t="s">
        <v>495</v>
      </c>
      <c r="BE45" s="492" t="s">
        <v>1024</v>
      </c>
      <c r="BF45" t="str">
        <f t="shared" si="89"/>
        <v>Cyber-security management and incident planning</v>
      </c>
      <c r="BG45" t="str">
        <f t="shared" si="90"/>
        <v>Guidance</v>
      </c>
      <c r="BH45" t="str">
        <f t="shared" si="91"/>
        <v>3.1.2.GY</v>
      </c>
      <c r="BI45" t="str">
        <f>IF(AND(BE45&lt;&gt;"",LEFT(BE45,1)&lt;&gt;"#"),IF(LEFT(BE45,1)="-",REPLACE(BE45,1,1,tech!$H$2),BE45),"")</f>
        <v>Cyber-security management covers activities to ensure that the PKI is protected against known and zero-day vulnerabilities, cyberattacks and other threats. The operational procedures and technologies are evolving and the PKI needs to be able to adapt to the changes. Without knowing the threats and vulnerabilities, it is not possible to plan for the resilience and properly plan for incident response.</v>
      </c>
      <c r="BJ45" t="s">
        <v>495</v>
      </c>
      <c r="BK45" s="492" t="s">
        <v>1096</v>
      </c>
      <c r="BL45" t="str">
        <f t="shared" si="92"/>
        <v>Documented integration guidance</v>
      </c>
      <c r="BM45" t="str">
        <f t="shared" si="93"/>
        <v>References</v>
      </c>
      <c r="BN45" t="str">
        <f t="shared" si="94"/>
        <v>3.2.2.RX</v>
      </c>
      <c r="BO45" t="str">
        <f>IF(AND(BK45&lt;&gt;"",LEFT(BK45,1)&lt;&gt;"#"),IF(LEFT(BK45,1)="-",REPLACE(BK45,1,1,tech!$H$2),BK45),"")</f>
        <v/>
      </c>
      <c r="BP45" t="s">
        <v>495</v>
      </c>
      <c r="BQ45" s="492"/>
      <c r="BR45" t="str">
        <f t="shared" si="95"/>
        <v>Monitoring events and logging requirements are defined and documented</v>
      </c>
      <c r="BS45" t="str">
        <f t="shared" si="96"/>
        <v>References</v>
      </c>
      <c r="BT45" t="str">
        <f t="shared" si="97"/>
        <v>3.3.1.RX</v>
      </c>
      <c r="BU45" t="str">
        <f>IF(AND(BQ45&lt;&gt;"",LEFT(BQ45,1)&lt;&gt;"#"),IF(LEFT(BQ45,1)="-",REPLACE(BQ45,1,1,tech!$H$2),BQ45),"")</f>
        <v/>
      </c>
      <c r="BV45" t="s">
        <v>495</v>
      </c>
      <c r="BW45" s="492"/>
      <c r="BX45" t="str">
        <f t="shared" si="98"/>
        <v>Process automation description</v>
      </c>
      <c r="BY45" t="str">
        <f t="shared" si="99"/>
        <v>References</v>
      </c>
      <c r="BZ45" t="str">
        <f t="shared" si="100"/>
        <v>3.4.1.RX</v>
      </c>
      <c r="CA45" t="str">
        <f>IF(AND(BW45&lt;&gt;"",LEFT(BW45,1)&lt;&gt;"#"),IF(LEFT(BW45,1)="-",REPLACE(BW45,1,1,tech!$H$2),BW45),"")</f>
        <v/>
      </c>
      <c r="CB45" t="s">
        <v>495</v>
      </c>
      <c r="CC45" s="492" t="s">
        <v>1264</v>
      </c>
      <c r="CD45" t="str">
        <f t="shared" si="101"/>
        <v>Resources are clearly defined</v>
      </c>
      <c r="CE45" t="str">
        <f t="shared" si="102"/>
        <v>Guidance</v>
      </c>
      <c r="CF45" t="str">
        <f t="shared" si="103"/>
        <v>4.1.2.GY</v>
      </c>
      <c r="CG45" t="str">
        <f>IF(AND(CC45&lt;&gt;"",LEFT(CC45,1)&lt;&gt;"#"),IF(LEFT(CC45,1)="-",REPLACE(CC45,1,1,tech!$H$2),CC45),"")</f>
        <v>• Other resources: description, specification, requirements</v>
      </c>
      <c r="CH45" t="s">
        <v>495</v>
      </c>
      <c r="CI45" s="492"/>
      <c r="CJ45" t="str">
        <f t="shared" si="104"/>
        <v>Establish training plan</v>
      </c>
      <c r="CK45" t="str">
        <f t="shared" si="105"/>
        <v>Assessment</v>
      </c>
      <c r="CL45" t="str">
        <f t="shared" si="106"/>
        <v>4.2.1.AX</v>
      </c>
      <c r="CM45" t="str">
        <f>IF(AND(CI45&lt;&gt;"",LEFT(CI45,1)&lt;&gt;"#"),IF(LEFT(CI45,1)="-",REPLACE(CI45,1,1,tech!$H$2),CI45),"")</f>
        <v/>
      </c>
      <c r="CN45" t="s">
        <v>495</v>
      </c>
      <c r="CO45" s="492" t="s">
        <v>498</v>
      </c>
      <c r="CP45" t="str">
        <f t="shared" si="107"/>
        <v>Disclose PKI information</v>
      </c>
      <c r="CQ45" t="str">
        <f t="shared" si="108"/>
        <v>Guidance</v>
      </c>
      <c r="CR45" t="str">
        <f t="shared" si="109"/>
        <v>4.3.2.GX</v>
      </c>
      <c r="CS45" t="str">
        <f>IF(AND(CO45&lt;&gt;"",LEFT(CO45,1)&lt;&gt;"#"),IF(LEFT(CO45,1)="-",REPLACE(CO45,1,1,tech!$H$2),CO45),"")</f>
        <v/>
      </c>
      <c r="CT45" t="s">
        <v>495</v>
      </c>
    </row>
    <row r="46" spans="3:98" x14ac:dyDescent="0.25">
      <c r="C46" s="492" t="s">
        <v>451</v>
      </c>
      <c r="D46" t="str">
        <f t="shared" si="64"/>
        <v>Advanced</v>
      </c>
      <c r="E46" t="str">
        <f t="shared" si="110"/>
        <v>Associated risks</v>
      </c>
      <c r="F46" t="str">
        <f>_xlfn.CONCAT(VLOOKUP(D46,tech!$A$13:$B$17,2,0),LEFT(E46,1),IF(G46="","X","Y"))</f>
        <v>3AX</v>
      </c>
      <c r="G46" t="str">
        <f>IF(IF(LEFT(C46,1)="-",C46,"")="","",REPLACE(IF(LEFT(C46,1)="-",C46,""),1,1,tech!$H$2))</f>
        <v/>
      </c>
      <c r="H46" t="s">
        <v>495</v>
      </c>
      <c r="I46" s="492" t="s">
        <v>506</v>
      </c>
      <c r="J46" t="str">
        <f t="shared" si="65"/>
        <v>Formal assignment of responsible leadership</v>
      </c>
      <c r="K46" t="str">
        <f t="shared" si="66"/>
        <v>Assessment</v>
      </c>
      <c r="L46" t="str">
        <f t="shared" si="67"/>
        <v>1.1.2.AY</v>
      </c>
      <c r="M46" t="str">
        <f>IF(AND(I46&lt;&gt;"",LEFT(I46,1)&lt;&gt;"#"),IF(LEFT(I46,1)="-",REPLACE(I46,1,1,tech!$H$2),I46),"")</f>
        <v>The formal assignment of the responsible person should be documented and approved by the management. Formal document should contains identification of the person and understanding of the role and responsibilities.</v>
      </c>
      <c r="N46" t="s">
        <v>495</v>
      </c>
      <c r="O46" s="492" t="s">
        <v>553</v>
      </c>
      <c r="P46" t="str">
        <f t="shared" si="68"/>
        <v>Certificate policy is documented and published</v>
      </c>
      <c r="Q46" t="str">
        <f t="shared" si="69"/>
        <v>Guidance</v>
      </c>
      <c r="R46" t="str">
        <f t="shared" si="70"/>
        <v>1.2.2.GY</v>
      </c>
      <c r="S46" t="str">
        <f>IF(AND(O46&lt;&gt;"",LEFT(O46,1)&lt;&gt;"#"),IF(LEFT(O46,1)="-",REPLACE(O46,1,1,tech!$H$2),O46),"")</f>
        <v>Certificate Policy (CP) is used to establish the controls of the issuing party and the roles and responsibilities of its entities for the specific PKI implementation and use case. It's used to provide assurance to partners and show the trustworthiness by the use of standards. It can be considered as a high level contract between the parties involved in the PKI and therefore should be published and available to all parties involved.</v>
      </c>
      <c r="T46" t="s">
        <v>495</v>
      </c>
      <c r="U46" s="492" t="s">
        <v>627</v>
      </c>
      <c r="V46" t="str">
        <f t="shared" si="71"/>
        <v>A program to monitor compliance with the policies is established</v>
      </c>
      <c r="W46" t="str">
        <f t="shared" si="72"/>
        <v>References</v>
      </c>
      <c r="X46" t="str">
        <f t="shared" si="73"/>
        <v>1.3.2.RX</v>
      </c>
      <c r="Y46" t="str">
        <f>IF(AND(U46&lt;&gt;"",LEFT(U46,1)&lt;&gt;"#"),IF(LEFT(U46,1)="-",REPLACE(U46,1,1,tech!$H$2),U46),"")</f>
        <v/>
      </c>
      <c r="Z46" t="s">
        <v>495</v>
      </c>
      <c r="AA46" s="492"/>
      <c r="AB46" t="str">
        <f t="shared" si="74"/>
        <v>Processes and procedures are formally documented and followed</v>
      </c>
      <c r="AC46" t="str">
        <f t="shared" si="75"/>
        <v>Guidance</v>
      </c>
      <c r="AD46" t="str">
        <f t="shared" si="76"/>
        <v>1.4.2.GX</v>
      </c>
      <c r="AE46" t="str">
        <f>IF(AND(AA46&lt;&gt;"",LEFT(AA46,1)&lt;&gt;"#"),IF(LEFT(AA46,1)="-",REPLACE(AA46,1,1,tech!$H$2),AA46),"")</f>
        <v/>
      </c>
      <c r="AF46" t="s">
        <v>495</v>
      </c>
      <c r="AG46" s="492" t="s">
        <v>498</v>
      </c>
      <c r="AH46" t="str">
        <f t="shared" si="77"/>
        <v>Inventory of cryptographic keys is documented and maintained</v>
      </c>
      <c r="AI46" t="str">
        <f t="shared" si="78"/>
        <v>Guidance</v>
      </c>
      <c r="AJ46" t="str">
        <f t="shared" si="79"/>
        <v>2.1.2.GX</v>
      </c>
      <c r="AK46" t="str">
        <f>IF(AND(AG46&lt;&gt;"",LEFT(AG46,1)&lt;&gt;"#"),IF(LEFT(AG46,1)="-",REPLACE(AG46,1,1,tech!$H$2),AG46),"")</f>
        <v/>
      </c>
      <c r="AL46" t="s">
        <v>495</v>
      </c>
      <c r="AM46" s="492" t="s">
        <v>797</v>
      </c>
      <c r="AN46" t="str">
        <f t="shared" si="80"/>
        <v>Certificate profiles are documented</v>
      </c>
      <c r="AO46" t="str">
        <f t="shared" si="81"/>
        <v>References</v>
      </c>
      <c r="AP46" t="str">
        <f t="shared" si="82"/>
        <v>2.2.1.RY</v>
      </c>
      <c r="AQ46" t="str">
        <f>IF(AND(AM46&lt;&gt;"",LEFT(AM46,1)&lt;&gt;"#"),IF(LEFT(AM46,1)="-",REPLACE(AM46,1,1,tech!$H$2),AM46),"")</f>
        <v>* [ETSI 319-411-2](https://www.etsi.org/deliver/etsi_en/319400_319499/31941102/02.03.01_60/en_31941102v020301p.pdf)</v>
      </c>
      <c r="AR46" t="s">
        <v>495</v>
      </c>
      <c r="AS46" s="492" t="s">
        <v>897</v>
      </c>
      <c r="AT46" t="str">
        <f t="shared" si="83"/>
        <v>Network and deployment infrastructure is documented</v>
      </c>
      <c r="AU46" t="str">
        <f t="shared" si="84"/>
        <v>References</v>
      </c>
      <c r="AV46" t="str">
        <f t="shared" si="85"/>
        <v>2.3.1.RY</v>
      </c>
      <c r="AW46" t="str">
        <f>IF(AND(AS46&lt;&gt;"",LEFT(AS46,1)&lt;&gt;"#"),IF(LEFT(AS46,1)="-",REPLACE(AS46,1,1,tech!$H$2),AS46),"")</f>
        <v>• [Guidance for Containers and Container Orchestration Tools](https://docs-prv.pcisecuritystandards.org/Guidance%20Document/Containers%20and%20Container%20Orchestration%20Tools/Guidance-for-Containers-and-Container-Ochestration-Tools-v1_0.pdf)</v>
      </c>
      <c r="AX46" t="s">
        <v>495</v>
      </c>
      <c r="AY46" s="492" t="s">
        <v>965</v>
      </c>
      <c r="AZ46" t="str">
        <f t="shared" si="86"/>
        <v>The policy for change management and agility is documented</v>
      </c>
      <c r="BA46" t="str">
        <f t="shared" si="87"/>
        <v>References</v>
      </c>
      <c r="BB46" t="str">
        <f t="shared" si="88"/>
        <v>2.4.1.RY</v>
      </c>
      <c r="BC46" t="str">
        <f>IF(AND(AY46&lt;&gt;"",LEFT(AY46,1)&lt;&gt;"#"),IF(LEFT(AY46,1)="-",REPLACE(AY46,1,1,tech!$H$2),AY46),"")</f>
        <v>• [The Information Technology Infrastructure Library (ITIL)](https://www.axelos.com/best-practice-solutions/itil)</v>
      </c>
      <c r="BD46" t="s">
        <v>495</v>
      </c>
      <c r="BE46" s="492"/>
      <c r="BF46" t="str">
        <f t="shared" si="89"/>
        <v>Cyber-security management and incident planning</v>
      </c>
      <c r="BG46" t="str">
        <f t="shared" si="90"/>
        <v>Guidance</v>
      </c>
      <c r="BH46" t="str">
        <f t="shared" si="91"/>
        <v>3.1.2.GY</v>
      </c>
      <c r="BI46" t="str">
        <f>IF(AND(BE46&lt;&gt;"",LEFT(BE46,1)&lt;&gt;"#"),IF(LEFT(BE46,1)="-",REPLACE(BE46,1,1,tech!$H$2),BE46),"")</f>
        <v/>
      </c>
      <c r="BJ46" t="s">
        <v>495</v>
      </c>
      <c r="BK46" s="492"/>
      <c r="BL46" t="str">
        <f t="shared" si="92"/>
        <v>Documented integration guidance</v>
      </c>
      <c r="BM46" t="str">
        <f t="shared" si="93"/>
        <v>References</v>
      </c>
      <c r="BN46" t="str">
        <f t="shared" si="94"/>
        <v>3.2.2.RX</v>
      </c>
      <c r="BO46" t="str">
        <f>IF(AND(BK46&lt;&gt;"",LEFT(BK46,1)&lt;&gt;"#"),IF(LEFT(BK46,1)="-",REPLACE(BK46,1,1,tech!$H$2),BK46),"")</f>
        <v/>
      </c>
      <c r="BP46" t="s">
        <v>495</v>
      </c>
      <c r="BQ46" s="492" t="s">
        <v>1147</v>
      </c>
      <c r="BR46" t="str">
        <f t="shared" si="95"/>
        <v>Event logs from systems are collected</v>
      </c>
      <c r="BS46" t="str">
        <f t="shared" si="96"/>
        <v>References</v>
      </c>
      <c r="BT46" t="str">
        <f t="shared" si="97"/>
        <v>3.3.2.RX</v>
      </c>
      <c r="BU46" t="str">
        <f>IF(AND(BQ46&lt;&gt;"",LEFT(BQ46,1)&lt;&gt;"#"),IF(LEFT(BQ46,1)="-",REPLACE(BQ46,1,1,tech!$H$2),BQ46),"")</f>
        <v/>
      </c>
      <c r="BV46" t="s">
        <v>495</v>
      </c>
      <c r="BW46" s="492" t="s">
        <v>1217</v>
      </c>
      <c r="BX46" t="str">
        <f t="shared" si="98"/>
        <v>Monitoring and auditing of automated process</v>
      </c>
      <c r="BY46" t="str">
        <f t="shared" si="99"/>
        <v>References</v>
      </c>
      <c r="BZ46" t="str">
        <f t="shared" si="100"/>
        <v>3.4.2.RX</v>
      </c>
      <c r="CA46" t="str">
        <f>IF(AND(BW46&lt;&gt;"",LEFT(BW46,1)&lt;&gt;"#"),IF(LEFT(BW46,1)="-",REPLACE(BW46,1,1,tech!$H$2),BW46),"")</f>
        <v/>
      </c>
      <c r="CB46" t="s">
        <v>495</v>
      </c>
      <c r="CC46" s="492"/>
      <c r="CD46" t="str">
        <f t="shared" si="101"/>
        <v>Resources are clearly defined</v>
      </c>
      <c r="CE46" t="str">
        <f t="shared" si="102"/>
        <v>Guidance</v>
      </c>
      <c r="CF46" t="str">
        <f t="shared" si="103"/>
        <v>4.1.2.GY</v>
      </c>
      <c r="CG46" t="str">
        <f>IF(AND(CC46&lt;&gt;"",LEFT(CC46,1)&lt;&gt;"#"),IF(LEFT(CC46,1)="-",REPLACE(CC46,1,1,tech!$H$2),CC46),"")</f>
        <v/>
      </c>
      <c r="CH46" t="s">
        <v>495</v>
      </c>
      <c r="CI46" s="492" t="s">
        <v>503</v>
      </c>
      <c r="CJ46" t="str">
        <f t="shared" si="104"/>
        <v>Establish training plan</v>
      </c>
      <c r="CK46" t="str">
        <f t="shared" si="105"/>
        <v>References</v>
      </c>
      <c r="CL46" t="str">
        <f t="shared" si="106"/>
        <v>4.2.1.RX</v>
      </c>
      <c r="CM46" t="str">
        <f>IF(AND(CI46&lt;&gt;"",LEFT(CI46,1)&lt;&gt;"#"),IF(LEFT(CI46,1)="-",REPLACE(CI46,1,1,tech!$H$2),CI46),"")</f>
        <v/>
      </c>
      <c r="CN46" t="s">
        <v>495</v>
      </c>
      <c r="CO46" s="492"/>
      <c r="CP46" t="str">
        <f t="shared" si="107"/>
        <v>Disclose PKI information</v>
      </c>
      <c r="CQ46" t="str">
        <f t="shared" si="108"/>
        <v>Guidance</v>
      </c>
      <c r="CR46" t="str">
        <f t="shared" si="109"/>
        <v>4.3.2.GX</v>
      </c>
      <c r="CS46" t="str">
        <f>IF(AND(CO46&lt;&gt;"",LEFT(CO46,1)&lt;&gt;"#"),IF(LEFT(CO46,1)="-",REPLACE(CO46,1,1,tech!$H$2),CO46),"")</f>
        <v/>
      </c>
      <c r="CT46" t="s">
        <v>495</v>
      </c>
    </row>
    <row r="47" spans="3:98" x14ac:dyDescent="0.25">
      <c r="C47" s="492"/>
      <c r="D47" t="str">
        <f t="shared" si="64"/>
        <v>Advanced</v>
      </c>
      <c r="E47" t="str">
        <f t="shared" si="110"/>
        <v>Associated risks</v>
      </c>
      <c r="F47" t="str">
        <f>_xlfn.CONCAT(VLOOKUP(D47,tech!$A$13:$B$17,2,0),LEFT(E47,1),IF(G47="","X","Y"))</f>
        <v>3AX</v>
      </c>
      <c r="G47" t="str">
        <f>IF(IF(LEFT(C47,1)="-",C47,"")="","",REPLACE(IF(LEFT(C47,1)="-",C47,""),1,1,tech!$H$2))</f>
        <v/>
      </c>
      <c r="H47" t="s">
        <v>495</v>
      </c>
      <c r="I47" s="492" t="s">
        <v>507</v>
      </c>
      <c r="J47" t="str">
        <f t="shared" si="65"/>
        <v>Formal assignment of responsible leadership</v>
      </c>
      <c r="K47" t="str">
        <f t="shared" si="66"/>
        <v>Assessment</v>
      </c>
      <c r="L47" t="str">
        <f t="shared" si="67"/>
        <v>1.1.2.AY</v>
      </c>
      <c r="M47" t="str">
        <f>IF(AND(I47&lt;&gt;"",LEFT(I47,1)&lt;&gt;"#"),IF(LEFT(I47,1)="-",REPLACE(I47,1,1,tech!$H$2),I47),"")</f>
        <v>Interview with the responsible person should confirm the understanding of the role and responsibilities, driving the PKI implementation according to the organizational strategy.</v>
      </c>
      <c r="N47" t="s">
        <v>495</v>
      </c>
      <c r="O47" s="492"/>
      <c r="P47" t="str">
        <f t="shared" si="68"/>
        <v>Certificate policy is documented and published</v>
      </c>
      <c r="Q47" t="str">
        <f t="shared" si="69"/>
        <v>Guidance</v>
      </c>
      <c r="R47" t="str">
        <f t="shared" si="70"/>
        <v>1.2.2.GY</v>
      </c>
      <c r="S47" t="str">
        <f>IF(AND(O47&lt;&gt;"",LEFT(O47,1)&lt;&gt;"#"),IF(LEFT(O47,1)="-",REPLACE(O47,1,1,tech!$H$2),O47),"")</f>
        <v/>
      </c>
      <c r="T47" t="s">
        <v>495</v>
      </c>
      <c r="U47" s="492"/>
      <c r="V47" t="str">
        <f t="shared" si="71"/>
        <v>A program to monitor compliance with the policies is established</v>
      </c>
      <c r="W47" t="str">
        <f t="shared" si="72"/>
        <v>References</v>
      </c>
      <c r="X47" t="str">
        <f t="shared" si="73"/>
        <v>1.3.2.RX</v>
      </c>
      <c r="Y47" t="str">
        <f>IF(AND(U47&lt;&gt;"",LEFT(U47,1)&lt;&gt;"#"),IF(LEFT(U47,1)="-",REPLACE(U47,1,1,tech!$H$2),U47),"")</f>
        <v/>
      </c>
      <c r="Z47" t="s">
        <v>495</v>
      </c>
      <c r="AA47" s="492" t="s">
        <v>501</v>
      </c>
      <c r="AB47" t="str">
        <f t="shared" si="74"/>
        <v>Processes and procedures are formally documented and followed</v>
      </c>
      <c r="AC47" t="str">
        <f t="shared" si="75"/>
        <v>Assessment</v>
      </c>
      <c r="AD47" t="str">
        <f t="shared" si="76"/>
        <v>1.4.2.AX</v>
      </c>
      <c r="AE47" t="str">
        <f>IF(AND(AA47&lt;&gt;"",LEFT(AA47,1)&lt;&gt;"#"),IF(LEFT(AA47,1)="-",REPLACE(AA47,1,1,tech!$H$2),AA47),"")</f>
        <v/>
      </c>
      <c r="AF47" t="s">
        <v>495</v>
      </c>
      <c r="AG47" s="492"/>
      <c r="AH47" t="str">
        <f t="shared" si="77"/>
        <v>Inventory of cryptographic keys is documented and maintained</v>
      </c>
      <c r="AI47" t="str">
        <f t="shared" si="78"/>
        <v>Guidance</v>
      </c>
      <c r="AJ47" t="str">
        <f t="shared" si="79"/>
        <v>2.1.2.GX</v>
      </c>
      <c r="AK47" t="str">
        <f>IF(AND(AG47&lt;&gt;"",LEFT(AG47,1)&lt;&gt;"#"),IF(LEFT(AG47,1)="-",REPLACE(AG47,1,1,tech!$H$2),AG47),"")</f>
        <v/>
      </c>
      <c r="AL47" t="s">
        <v>495</v>
      </c>
      <c r="AM47" s="492" t="s">
        <v>879</v>
      </c>
      <c r="AN47" t="str">
        <f t="shared" si="80"/>
        <v>Certificate profiles are documented</v>
      </c>
      <c r="AO47" t="str">
        <f t="shared" si="81"/>
        <v>References</v>
      </c>
      <c r="AP47" t="str">
        <f t="shared" si="82"/>
        <v>2.2.1.RY</v>
      </c>
      <c r="AQ47" t="str">
        <f>IF(AND(AM47&lt;&gt;"",LEFT(AM47,1)&lt;&gt;"#"),IF(LEFT(AM47,1)="-",REPLACE(AM47,1,1,tech!$H$2),AM47),"")</f>
        <v>* [3GPP 33.310 - Network Domain Security (NDS); Authentication Framework (AF)](https://portal.3gpp.org/desktopmodules/Specifications/SpecificationDetails.aspx?specificationId2293)</v>
      </c>
      <c r="AR47" t="s">
        <v>495</v>
      </c>
      <c r="AS47" s="492"/>
      <c r="AT47" t="str">
        <f t="shared" si="83"/>
        <v>Network and deployment infrastructure is documented</v>
      </c>
      <c r="AU47" t="str">
        <f t="shared" si="84"/>
        <v>References</v>
      </c>
      <c r="AV47" t="str">
        <f t="shared" si="85"/>
        <v>2.3.1.RX</v>
      </c>
      <c r="AW47" t="str">
        <f>IF(AND(AS47&lt;&gt;"",LEFT(AS47,1)&lt;&gt;"#"),IF(LEFT(AS47,1)="-",REPLACE(AS47,1,1,tech!$H$2),AS47),"")</f>
        <v/>
      </c>
      <c r="AX47" t="s">
        <v>495</v>
      </c>
      <c r="AY47" s="492"/>
      <c r="AZ47" t="str">
        <f t="shared" si="86"/>
        <v>The policy for change management and agility is documented</v>
      </c>
      <c r="BA47" t="str">
        <f t="shared" si="87"/>
        <v>References</v>
      </c>
      <c r="BB47" t="str">
        <f t="shared" si="88"/>
        <v>2.4.1.RX</v>
      </c>
      <c r="BC47" t="str">
        <f>IF(AND(AY47&lt;&gt;"",LEFT(AY47,1)&lt;&gt;"#"),IF(LEFT(AY47,1)="-",REPLACE(AY47,1,1,tech!$H$2),AY47),"")</f>
        <v/>
      </c>
      <c r="BD47" t="s">
        <v>495</v>
      </c>
      <c r="BE47" s="492" t="s">
        <v>1025</v>
      </c>
      <c r="BF47" t="str">
        <f t="shared" si="89"/>
        <v>Cyber-security management and incident planning</v>
      </c>
      <c r="BG47" t="str">
        <f t="shared" si="90"/>
        <v>Guidance</v>
      </c>
      <c r="BH47" t="str">
        <f t="shared" si="91"/>
        <v>3.1.2.GY</v>
      </c>
      <c r="BI47" t="str">
        <f>IF(AND(BE47&lt;&gt;"",LEFT(BE47,1)&lt;&gt;"#"),IF(LEFT(BE47,1)="-",REPLACE(BE47,1,1,tech!$H$2),BE47),"")</f>
        <v>Incident response planning helps to ensure that the organization is able to respond to the suspected incidents. Incident response plans should be documented and tested regularly. The result of executed incident response plans should be documented and used to improve the plan, even if it was a false alarm.</v>
      </c>
      <c r="BJ47" t="s">
        <v>495</v>
      </c>
      <c r="BK47" s="492" t="s">
        <v>498</v>
      </c>
      <c r="BL47" t="str">
        <f t="shared" si="92"/>
        <v>Documented integration guidance</v>
      </c>
      <c r="BM47" t="str">
        <f t="shared" si="93"/>
        <v>Guidance</v>
      </c>
      <c r="BN47" t="str">
        <f t="shared" si="94"/>
        <v>3.2.2.GX</v>
      </c>
      <c r="BO47" t="str">
        <f>IF(AND(BK47&lt;&gt;"",LEFT(BK47,1)&lt;&gt;"#"),IF(LEFT(BK47,1)="-",REPLACE(BK47,1,1,tech!$H$2),BK47),"")</f>
        <v/>
      </c>
      <c r="BP47" t="s">
        <v>495</v>
      </c>
      <c r="BQ47" s="492"/>
      <c r="BR47" t="str">
        <f t="shared" si="95"/>
        <v>Event logs from systems are collected</v>
      </c>
      <c r="BS47" t="str">
        <f t="shared" si="96"/>
        <v>References</v>
      </c>
      <c r="BT47" t="str">
        <f t="shared" si="97"/>
        <v>3.3.2.RX</v>
      </c>
      <c r="BU47" t="str">
        <f>IF(AND(BQ47&lt;&gt;"",LEFT(BQ47,1)&lt;&gt;"#"),IF(LEFT(BQ47,1)="-",REPLACE(BQ47,1,1,tech!$H$2),BQ47),"")</f>
        <v/>
      </c>
      <c r="BV47" t="s">
        <v>495</v>
      </c>
      <c r="BW47" s="492"/>
      <c r="BX47" t="str">
        <f t="shared" si="98"/>
        <v>Monitoring and auditing of automated process</v>
      </c>
      <c r="BY47" t="str">
        <f t="shared" si="99"/>
        <v>References</v>
      </c>
      <c r="BZ47" t="str">
        <f t="shared" si="100"/>
        <v>3.4.2.RX</v>
      </c>
      <c r="CA47" t="str">
        <f>IF(AND(BW47&lt;&gt;"",LEFT(BW47,1)&lt;&gt;"#"),IF(LEFT(BW47,1)="-",REPLACE(BW47,1,1,tech!$H$2),BW47),"")</f>
        <v/>
      </c>
      <c r="CB47" t="s">
        <v>495</v>
      </c>
      <c r="CC47" s="492" t="s">
        <v>1265</v>
      </c>
      <c r="CD47" t="str">
        <f t="shared" si="101"/>
        <v>Resources are clearly defined</v>
      </c>
      <c r="CE47" t="str">
        <f t="shared" si="102"/>
        <v>Guidance</v>
      </c>
      <c r="CF47" t="str">
        <f t="shared" si="103"/>
        <v>4.1.2.GY</v>
      </c>
      <c r="CG47" t="str">
        <f>IF(AND(CC47&lt;&gt;"",LEFT(CC47,1)&lt;&gt;"#"),IF(LEFT(CC47,1)="-",REPLACE(CC47,1,1,tech!$H$2),CC47),"")</f>
        <v>Without clearly defined resources, there could be misuse of the organization’s assets or inconsistent interaction with personnel and other parties, leading to insecure and untrusted implementation of the PKI.</v>
      </c>
      <c r="CH47" t="s">
        <v>495</v>
      </c>
      <c r="CI47" s="492"/>
      <c r="CJ47" t="str">
        <f t="shared" si="104"/>
        <v>Establish training plan</v>
      </c>
      <c r="CK47" t="str">
        <f t="shared" si="105"/>
        <v>References</v>
      </c>
      <c r="CL47" t="str">
        <f t="shared" si="106"/>
        <v>4.2.1.RX</v>
      </c>
      <c r="CM47" t="str">
        <f>IF(AND(CI47&lt;&gt;"",LEFT(CI47,1)&lt;&gt;"#"),IF(LEFT(CI47,1)="-",REPLACE(CI47,1,1,tech!$H$2),CI47),"")</f>
        <v/>
      </c>
      <c r="CN47" t="s">
        <v>495</v>
      </c>
      <c r="CO47" s="492" t="s">
        <v>1372</v>
      </c>
      <c r="CP47" t="str">
        <f t="shared" si="107"/>
        <v>Disclose PKI information</v>
      </c>
      <c r="CQ47" t="str">
        <f t="shared" si="108"/>
        <v>Guidance</v>
      </c>
      <c r="CR47" t="str">
        <f t="shared" si="109"/>
        <v>4.3.2.GY</v>
      </c>
      <c r="CS47" t="str">
        <f>IF(AND(CO47&lt;&gt;"",LEFT(CO47,1)&lt;&gt;"#"),IF(LEFT(CO47,1)="-",REPLACE(CO47,1,1,tech!$H$2),CO47),"")</f>
        <v>Information about the policies, processes, and procedures that are maintained by the PKI should be disclosed to the PKI participants. This information should be available on a timely basis and in a form that is understandable to the PKI participants.</v>
      </c>
      <c r="CT47" t="s">
        <v>495</v>
      </c>
    </row>
    <row r="48" spans="3:98" x14ac:dyDescent="0.25">
      <c r="C48" s="492" t="s">
        <v>445</v>
      </c>
      <c r="D48" t="str">
        <f t="shared" si="64"/>
        <v>Advanced</v>
      </c>
      <c r="E48" t="str">
        <f t="shared" si="110"/>
        <v>Indicators</v>
      </c>
      <c r="F48" t="str">
        <f>_xlfn.CONCAT(VLOOKUP(D48,tech!$A$13:$B$17,2,0),LEFT(E48,1),IF(G48="","X","Y"))</f>
        <v>3IX</v>
      </c>
      <c r="G48" t="str">
        <f>IF(IF(LEFT(C48,1)="-",C48,"")="","",REPLACE(IF(LEFT(C48,1)="-",C48,""),1,1,tech!$H$2))</f>
        <v/>
      </c>
      <c r="H48" t="s">
        <v>495</v>
      </c>
      <c r="I48" s="492"/>
      <c r="J48" t="str">
        <f t="shared" si="65"/>
        <v>Formal assignment of responsible leadership</v>
      </c>
      <c r="K48" t="str">
        <f t="shared" si="66"/>
        <v>Assessment</v>
      </c>
      <c r="L48" t="str">
        <f t="shared" si="67"/>
        <v>1.1.2.AX</v>
      </c>
      <c r="M48" t="str">
        <f>IF(AND(I48&lt;&gt;"",LEFT(I48,1)&lt;&gt;"#"),IF(LEFT(I48,1)="-",REPLACE(I48,1,1,tech!$H$2),I48),"")</f>
        <v/>
      </c>
      <c r="N48" t="s">
        <v>495</v>
      </c>
      <c r="O48" s="492" t="s">
        <v>554</v>
      </c>
      <c r="P48" t="str">
        <f t="shared" si="68"/>
        <v>Certificate policy is documented and published</v>
      </c>
      <c r="Q48" t="str">
        <f t="shared" si="69"/>
        <v>Guidance</v>
      </c>
      <c r="R48" t="str">
        <f t="shared" si="70"/>
        <v>1.2.2.GY</v>
      </c>
      <c r="S48" t="str">
        <f>IF(AND(O48&lt;&gt;"",LEFT(O48,1)&lt;&gt;"#"),IF(LEFT(O48,1)="-",REPLACE(O48,1,1,tech!$H$2),O48),"")</f>
        <v>CPs are described in a document form where the content may differ. Multiple policies can be part of a single document for different use cases. A CP contains a set of rules that indicates the applicability of a certificate to a particular community and/or class of applications with common security requirements or level of security (for instance certificates for the purpose of: persons, domains, organizations, authenticity and confidentiality, services). To uniquely identify the purpose of the certificates the CP contains unique numbers (Object Identifier, OID) which needs to be registered.</v>
      </c>
      <c r="T48" t="s">
        <v>495</v>
      </c>
      <c r="U48" s="492" t="s">
        <v>498</v>
      </c>
      <c r="V48" t="str">
        <f t="shared" si="71"/>
        <v>A program to monitor compliance with the policies is established</v>
      </c>
      <c r="W48" t="str">
        <f t="shared" si="72"/>
        <v>Guidance</v>
      </c>
      <c r="X48" t="str">
        <f t="shared" si="73"/>
        <v>1.3.2.GX</v>
      </c>
      <c r="Y48" t="str">
        <f>IF(AND(U48&lt;&gt;"",LEFT(U48,1)&lt;&gt;"#"),IF(LEFT(U48,1)="-",REPLACE(U48,1,1,tech!$H$2),U48),"")</f>
        <v/>
      </c>
      <c r="Z48" t="s">
        <v>495</v>
      </c>
      <c r="AA48" s="492"/>
      <c r="AB48" t="str">
        <f t="shared" si="74"/>
        <v>Processes and procedures are formally documented and followed</v>
      </c>
      <c r="AC48" t="str">
        <f t="shared" si="75"/>
        <v>Assessment</v>
      </c>
      <c r="AD48" t="str">
        <f t="shared" si="76"/>
        <v>1.4.2.AX</v>
      </c>
      <c r="AE48" t="str">
        <f>IF(AND(AA48&lt;&gt;"",LEFT(AA48,1)&lt;&gt;"#"),IF(LEFT(AA48,1)="-",REPLACE(AA48,1,1,tech!$H$2),AA48),"")</f>
        <v/>
      </c>
      <c r="AF48" t="s">
        <v>495</v>
      </c>
      <c r="AG48" s="492" t="s">
        <v>709</v>
      </c>
      <c r="AH48" t="str">
        <f t="shared" si="77"/>
        <v>Inventory of cryptographic keys is documented and maintained</v>
      </c>
      <c r="AI48" t="str">
        <f t="shared" si="78"/>
        <v>Guidance</v>
      </c>
      <c r="AJ48" t="str">
        <f t="shared" si="79"/>
        <v>2.1.2.GY</v>
      </c>
      <c r="AK48" t="str">
        <f>IF(AND(AG48&lt;&gt;"",LEFT(AG48,1)&lt;&gt;"#"),IF(LEFT(AG48,1)="-",REPLACE(AG48,1,1,tech!$H$2),AG48),"")</f>
        <v>Inventory of cryptographic keys is important and a strategic database for organizations to:</v>
      </c>
      <c r="AL48" t="s">
        <v>495</v>
      </c>
      <c r="AM48" s="492" t="s">
        <v>798</v>
      </c>
      <c r="AN48" t="str">
        <f t="shared" si="80"/>
        <v>Certificate profiles are documented</v>
      </c>
      <c r="AO48" t="str">
        <f t="shared" si="81"/>
        <v>References</v>
      </c>
      <c r="AP48" t="str">
        <f t="shared" si="82"/>
        <v>2.2.1.RY</v>
      </c>
      <c r="AQ48" t="str">
        <f>IF(AND(AM48&lt;&gt;"",LEFT(AM48,1)&lt;&gt;"#"),IF(LEFT(AM48,1)="-",REPLACE(AM48,1,1,tech!$H$2),AM48),"")</f>
        <v>* [UNISIG SUBSET-137](https://www.era.europa.eu/system/files/2022-11/index083_-_subset-137_v100.pdf)</v>
      </c>
      <c r="AR48" t="s">
        <v>495</v>
      </c>
      <c r="AS48" s="492" t="s">
        <v>898</v>
      </c>
      <c r="AT48" t="str">
        <f t="shared" si="83"/>
        <v>Separation and segmentation principles are applied</v>
      </c>
      <c r="AU48" t="str">
        <f t="shared" si="84"/>
        <v>References</v>
      </c>
      <c r="AV48" t="str">
        <f t="shared" si="85"/>
        <v>2.3.2.RX</v>
      </c>
      <c r="AW48" t="str">
        <f>IF(AND(AS48&lt;&gt;"",LEFT(AS48,1)&lt;&gt;"#"),IF(LEFT(AS48,1)="-",REPLACE(AS48,1,1,tech!$H$2),AS48),"")</f>
        <v/>
      </c>
      <c r="AX48" t="s">
        <v>495</v>
      </c>
      <c r="AY48" s="492" t="s">
        <v>966</v>
      </c>
      <c r="AZ48" t="str">
        <f t="shared" si="86"/>
        <v>Request for change structure is documented and followed</v>
      </c>
      <c r="BA48" t="str">
        <f t="shared" si="87"/>
        <v>References</v>
      </c>
      <c r="BB48" t="str">
        <f t="shared" si="88"/>
        <v>2.4.2.RX</v>
      </c>
      <c r="BC48" t="str">
        <f>IF(AND(AY48&lt;&gt;"",LEFT(AY48,1)&lt;&gt;"#"),IF(LEFT(AY48,1)="-",REPLACE(AY48,1,1,tech!$H$2),AY48),"")</f>
        <v/>
      </c>
      <c r="BD48" t="s">
        <v>495</v>
      </c>
      <c r="BE48" s="492"/>
      <c r="BF48" t="str">
        <f t="shared" si="89"/>
        <v>Cyber-security management and incident planning</v>
      </c>
      <c r="BG48" t="str">
        <f t="shared" si="90"/>
        <v>Guidance</v>
      </c>
      <c r="BH48" t="str">
        <f t="shared" si="91"/>
        <v>3.1.2.GY</v>
      </c>
      <c r="BI48" t="str">
        <f>IF(AND(BE48&lt;&gt;"",LEFT(BE48,1)&lt;&gt;"#"),IF(LEFT(BE48,1)="-",REPLACE(BE48,1,1,tech!$H$2),BE48),"")</f>
        <v/>
      </c>
      <c r="BJ48" t="s">
        <v>495</v>
      </c>
      <c r="BK48" s="492"/>
      <c r="BL48" t="str">
        <f t="shared" si="92"/>
        <v>Documented integration guidance</v>
      </c>
      <c r="BM48" t="str">
        <f t="shared" si="93"/>
        <v>Guidance</v>
      </c>
      <c r="BN48" t="str">
        <f t="shared" si="94"/>
        <v>3.2.2.GX</v>
      </c>
      <c r="BO48" t="str">
        <f>IF(AND(BK48&lt;&gt;"",LEFT(BK48,1)&lt;&gt;"#"),IF(LEFT(BK48,1)="-",REPLACE(BK48,1,1,tech!$H$2),BK48),"")</f>
        <v/>
      </c>
      <c r="BP48" t="s">
        <v>495</v>
      </c>
      <c r="BQ48" s="492" t="s">
        <v>498</v>
      </c>
      <c r="BR48" t="str">
        <f t="shared" si="95"/>
        <v>Event logs from systems are collected</v>
      </c>
      <c r="BS48" t="str">
        <f t="shared" si="96"/>
        <v>Guidance</v>
      </c>
      <c r="BT48" t="str">
        <f t="shared" si="97"/>
        <v>3.3.2.GX</v>
      </c>
      <c r="BU48" t="str">
        <f>IF(AND(BQ48&lt;&gt;"",LEFT(BQ48,1)&lt;&gt;"#"),IF(LEFT(BQ48,1)="-",REPLACE(BQ48,1,1,tech!$H$2),BQ48),"")</f>
        <v/>
      </c>
      <c r="BV48" t="s">
        <v>495</v>
      </c>
      <c r="BW48" s="492" t="s">
        <v>498</v>
      </c>
      <c r="BX48" t="str">
        <f t="shared" si="98"/>
        <v>Monitoring and auditing of automated process</v>
      </c>
      <c r="BY48" t="str">
        <f t="shared" si="99"/>
        <v>Guidance</v>
      </c>
      <c r="BZ48" t="str">
        <f t="shared" si="100"/>
        <v>3.4.2.GX</v>
      </c>
      <c r="CA48" t="str">
        <f>IF(AND(BW48&lt;&gt;"",LEFT(BW48,1)&lt;&gt;"#"),IF(LEFT(BW48,1)="-",REPLACE(BW48,1,1,tech!$H$2),BW48),"")</f>
        <v/>
      </c>
      <c r="CB48" t="s">
        <v>495</v>
      </c>
      <c r="CC48" s="492"/>
      <c r="CD48" t="str">
        <f t="shared" si="101"/>
        <v>Resources are clearly defined</v>
      </c>
      <c r="CE48" t="str">
        <f t="shared" si="102"/>
        <v>Guidance</v>
      </c>
      <c r="CF48" t="str">
        <f t="shared" si="103"/>
        <v>4.1.2.GX</v>
      </c>
      <c r="CG48" t="str">
        <f>IF(AND(CC48&lt;&gt;"",LEFT(CC48,1)&lt;&gt;"#"),IF(LEFT(CC48,1)="-",REPLACE(CC48,1,1,tech!$H$2),CC48),"")</f>
        <v/>
      </c>
      <c r="CH48" t="s">
        <v>495</v>
      </c>
      <c r="CI48" s="492" t="s">
        <v>1294</v>
      </c>
      <c r="CJ48" t="str">
        <f t="shared" si="104"/>
        <v>Establish training plan</v>
      </c>
      <c r="CK48" t="str">
        <f t="shared" si="105"/>
        <v>References</v>
      </c>
      <c r="CL48" t="str">
        <f t="shared" si="106"/>
        <v>4.2.1.RY</v>
      </c>
      <c r="CM48" t="str">
        <f>IF(AND(CI48&lt;&gt;"",LEFT(CI48,1)&lt;&gt;"#"),IF(LEFT(CI48,1)="-",REPLACE(CI48,1,1,tech!$H$2),CI48),"")</f>
        <v>• [NIST SP 800-16 Information Technology Security Training Requirements: a Role- and Performance-Based Model](https://csrc.nist.gov/publications/detail/sp/800-16/final)</v>
      </c>
      <c r="CN48" t="s">
        <v>495</v>
      </c>
      <c r="CO48" s="492"/>
      <c r="CP48" t="str">
        <f t="shared" si="107"/>
        <v>Disclose PKI information</v>
      </c>
      <c r="CQ48" t="str">
        <f t="shared" si="108"/>
        <v>Guidance</v>
      </c>
      <c r="CR48" t="str">
        <f t="shared" si="109"/>
        <v>4.3.2.GY</v>
      </c>
      <c r="CS48" t="str">
        <f>IF(AND(CO48&lt;&gt;"",LEFT(CO48,1)&lt;&gt;"#"),IF(LEFT(CO48,1)="-",REPLACE(CO48,1,1,tech!$H$2),CO48),"")</f>
        <v/>
      </c>
      <c r="CT48" t="s">
        <v>495</v>
      </c>
    </row>
    <row r="49" spans="3:98" x14ac:dyDescent="0.25">
      <c r="C49" s="492"/>
      <c r="D49" t="str">
        <f t="shared" si="64"/>
        <v>Advanced</v>
      </c>
      <c r="E49" t="str">
        <f t="shared" si="110"/>
        <v>Indicators</v>
      </c>
      <c r="F49" t="str">
        <f>_xlfn.CONCAT(VLOOKUP(D49,tech!$A$13:$B$17,2,0),LEFT(E49,1),IF(G49="","X","Y"))</f>
        <v>3IX</v>
      </c>
      <c r="G49" t="str">
        <f>IF(IF(LEFT(C49,1)="-",C49,"")="","",REPLACE(IF(LEFT(C49,1)="-",C49,""),1,1,tech!$H$2))</f>
        <v/>
      </c>
      <c r="H49" t="s">
        <v>495</v>
      </c>
      <c r="I49" s="492" t="s">
        <v>503</v>
      </c>
      <c r="J49" t="str">
        <f t="shared" si="65"/>
        <v>Formal assignment of responsible leadership</v>
      </c>
      <c r="K49" t="str">
        <f t="shared" si="66"/>
        <v>References</v>
      </c>
      <c r="L49" t="str">
        <f t="shared" si="67"/>
        <v>1.1.2.RX</v>
      </c>
      <c r="M49" t="str">
        <f>IF(AND(I49&lt;&gt;"",LEFT(I49,1)&lt;&gt;"#"),IF(LEFT(I49,1)="-",REPLACE(I49,1,1,tech!$H$2),I49),"")</f>
        <v/>
      </c>
      <c r="N49" t="s">
        <v>495</v>
      </c>
      <c r="O49" s="492"/>
      <c r="P49" t="str">
        <f t="shared" si="68"/>
        <v>Certificate policy is documented and published</v>
      </c>
      <c r="Q49" t="str">
        <f t="shared" si="69"/>
        <v>Guidance</v>
      </c>
      <c r="R49" t="str">
        <f t="shared" si="70"/>
        <v>1.2.2.GY</v>
      </c>
      <c r="S49" t="str">
        <f>IF(AND(O49&lt;&gt;"",LEFT(O49,1)&lt;&gt;"#"),IF(LEFT(O49,1)="-",REPLACE(O49,1,1,tech!$H$2),O49),"")</f>
        <v/>
      </c>
      <c r="T49" t="s">
        <v>495</v>
      </c>
      <c r="U49" s="492"/>
      <c r="V49" t="str">
        <f t="shared" si="71"/>
        <v>A program to monitor compliance with the policies is established</v>
      </c>
      <c r="W49" t="str">
        <f t="shared" si="72"/>
        <v>Guidance</v>
      </c>
      <c r="X49" t="str">
        <f t="shared" si="73"/>
        <v>1.3.2.GX</v>
      </c>
      <c r="Y49" t="str">
        <f>IF(AND(U49&lt;&gt;"",LEFT(U49,1)&lt;&gt;"#"),IF(LEFT(U49,1)="-",REPLACE(U49,1,1,tech!$H$2),U49),"")</f>
        <v/>
      </c>
      <c r="Z49" t="s">
        <v>495</v>
      </c>
      <c r="AA49" s="492" t="s">
        <v>667</v>
      </c>
      <c r="AB49" t="str">
        <f t="shared" si="74"/>
        <v>Processes and procedures are formally documented and followed</v>
      </c>
      <c r="AC49" t="str">
        <f t="shared" si="75"/>
        <v>Assessment</v>
      </c>
      <c r="AD49" t="str">
        <f t="shared" si="76"/>
        <v>1.4.2.AY</v>
      </c>
      <c r="AE49" t="str">
        <f>IF(AND(AA49&lt;&gt;"",LEFT(AA49,1)&lt;&gt;"#"),IF(LEFT(AA49,1)="-",REPLACE(AA49,1,1,tech!$H$2),AA49),"")</f>
        <v>The following is sample evidence and information that can be collected during the assessment:</v>
      </c>
      <c r="AF49" t="s">
        <v>495</v>
      </c>
      <c r="AG49" s="492" t="s">
        <v>743</v>
      </c>
      <c r="AH49" t="str">
        <f t="shared" si="77"/>
        <v>Inventory of cryptographic keys is documented and maintained</v>
      </c>
      <c r="AI49" t="str">
        <f t="shared" si="78"/>
        <v>Guidance</v>
      </c>
      <c r="AJ49" t="str">
        <f t="shared" si="79"/>
        <v>2.1.2.GY</v>
      </c>
      <c r="AK49" t="str">
        <f>IF(AND(AG49&lt;&gt;"",LEFT(AG49,1)&lt;&gt;"#"),IF(LEFT(AG49,1)="-",REPLACE(AG49,1,1,tech!$H$2),AG49),"")</f>
        <v>• Monitor cryptographic key status and compliance</v>
      </c>
      <c r="AL49" t="s">
        <v>495</v>
      </c>
      <c r="AM49" s="492"/>
      <c r="AN49" t="str">
        <f t="shared" si="80"/>
        <v>Certificate profiles are documented</v>
      </c>
      <c r="AO49" t="str">
        <f t="shared" si="81"/>
        <v>References</v>
      </c>
      <c r="AP49" t="str">
        <f t="shared" si="82"/>
        <v>2.2.1.RX</v>
      </c>
      <c r="AQ49" t="str">
        <f>IF(AND(AM49&lt;&gt;"",LEFT(AM49,1)&lt;&gt;"#"),IF(LEFT(AM49,1)="-",REPLACE(AM49,1,1,tech!$H$2),AM49),"")</f>
        <v/>
      </c>
      <c r="AR49" t="s">
        <v>495</v>
      </c>
      <c r="AS49" s="492"/>
      <c r="AT49" t="str">
        <f t="shared" si="83"/>
        <v>Separation and segmentation principles are applied</v>
      </c>
      <c r="AU49" t="str">
        <f t="shared" si="84"/>
        <v>References</v>
      </c>
      <c r="AV49" t="str">
        <f t="shared" si="85"/>
        <v>2.3.2.RX</v>
      </c>
      <c r="AW49" t="str">
        <f>IF(AND(AS49&lt;&gt;"",LEFT(AS49,1)&lt;&gt;"#"),IF(LEFT(AS49,1)="-",REPLACE(AS49,1,1,tech!$H$2),AS49),"")</f>
        <v/>
      </c>
      <c r="AX49" t="s">
        <v>495</v>
      </c>
      <c r="AY49" s="492"/>
      <c r="AZ49" t="str">
        <f t="shared" si="86"/>
        <v>Request for change structure is documented and followed</v>
      </c>
      <c r="BA49" t="str">
        <f t="shared" si="87"/>
        <v>References</v>
      </c>
      <c r="BB49" t="str">
        <f t="shared" si="88"/>
        <v>2.4.2.RX</v>
      </c>
      <c r="BC49" t="str">
        <f>IF(AND(AY49&lt;&gt;"",LEFT(AY49,1)&lt;&gt;"#"),IF(LEFT(AY49,1)="-",REPLACE(AY49,1,1,tech!$H$2),AY49),"")</f>
        <v/>
      </c>
      <c r="BD49" t="s">
        <v>495</v>
      </c>
      <c r="BE49" s="492" t="s">
        <v>1026</v>
      </c>
      <c r="BF49" t="str">
        <f t="shared" si="89"/>
        <v>Cyber-security management and incident planning</v>
      </c>
      <c r="BG49" t="str">
        <f t="shared" si="90"/>
        <v>Guidance</v>
      </c>
      <c r="BH49" t="str">
        <f t="shared" si="91"/>
        <v>3.1.2.GY</v>
      </c>
      <c r="BI49" t="str">
        <f>IF(AND(BE49&lt;&gt;"",LEFT(BE49,1)&lt;&gt;"#"),IF(LEFT(BE49,1)="-",REPLACE(BE49,1,1,tech!$H$2),BE49),"")</f>
        <v>Cyber-security management and incident planning covers important aspects such as vulnerability management and security operations center (SOC) identification and response to potential incidents.</v>
      </c>
      <c r="BJ49" t="s">
        <v>495</v>
      </c>
      <c r="BK49" s="492" t="s">
        <v>1097</v>
      </c>
      <c r="BL49" t="str">
        <f t="shared" si="92"/>
        <v>Documented integration guidance</v>
      </c>
      <c r="BM49" t="str">
        <f t="shared" si="93"/>
        <v>Guidance</v>
      </c>
      <c r="BN49" t="str">
        <f t="shared" si="94"/>
        <v>3.2.2.GY</v>
      </c>
      <c r="BO49" t="str">
        <f>IF(AND(BK49&lt;&gt;"",LEFT(BK49,1)&lt;&gt;"#"),IF(LEFT(BK49,1)="-",REPLACE(BK49,1,1,tech!$H$2),BK49),"")</f>
        <v>To have effective interoperability between PKI components, it is important to have a proper integration in place that serves the purpose and does not expose any potential risks. Available and documented integration guidance for the developers and administrators should be maintained and updated regularly.</v>
      </c>
      <c r="BP49" t="s">
        <v>495</v>
      </c>
      <c r="BQ49" s="492"/>
      <c r="BR49" t="str">
        <f t="shared" si="95"/>
        <v>Event logs from systems are collected</v>
      </c>
      <c r="BS49" t="str">
        <f t="shared" si="96"/>
        <v>Guidance</v>
      </c>
      <c r="BT49" t="str">
        <f t="shared" si="97"/>
        <v>3.3.2.GX</v>
      </c>
      <c r="BU49" t="str">
        <f>IF(AND(BQ49&lt;&gt;"",LEFT(BQ49,1)&lt;&gt;"#"),IF(LEFT(BQ49,1)="-",REPLACE(BQ49,1,1,tech!$H$2),BQ49),"")</f>
        <v/>
      </c>
      <c r="BV49" t="s">
        <v>495</v>
      </c>
      <c r="BW49" s="492"/>
      <c r="BX49" t="str">
        <f t="shared" si="98"/>
        <v>Monitoring and auditing of automated process</v>
      </c>
      <c r="BY49" t="str">
        <f t="shared" si="99"/>
        <v>Guidance</v>
      </c>
      <c r="BZ49" t="str">
        <f t="shared" si="100"/>
        <v>3.4.2.GX</v>
      </c>
      <c r="CA49" t="str">
        <f>IF(AND(BW49&lt;&gt;"",LEFT(BW49,1)&lt;&gt;"#"),IF(LEFT(BW49,1)="-",REPLACE(BW49,1,1,tech!$H$2),BW49),"")</f>
        <v/>
      </c>
      <c r="CB49" t="s">
        <v>495</v>
      </c>
      <c r="CC49" s="492" t="s">
        <v>501</v>
      </c>
      <c r="CD49" t="str">
        <f t="shared" si="101"/>
        <v>Resources are clearly defined</v>
      </c>
      <c r="CE49" t="str">
        <f t="shared" si="102"/>
        <v>Assessment</v>
      </c>
      <c r="CF49" t="str">
        <f t="shared" si="103"/>
        <v>4.1.2.AX</v>
      </c>
      <c r="CG49" t="str">
        <f>IF(AND(CC49&lt;&gt;"",LEFT(CC49,1)&lt;&gt;"#"),IF(LEFT(CC49,1)="-",REPLACE(CC49,1,1,tech!$H$2),CC49),"")</f>
        <v/>
      </c>
      <c r="CH49" t="s">
        <v>495</v>
      </c>
      <c r="CI49" s="492" t="s">
        <v>1295</v>
      </c>
      <c r="CJ49" t="str">
        <f t="shared" si="104"/>
        <v>Establish training plan</v>
      </c>
      <c r="CK49" t="str">
        <f t="shared" si="105"/>
        <v>References</v>
      </c>
      <c r="CL49" t="str">
        <f t="shared" si="106"/>
        <v>4.2.1.RY</v>
      </c>
      <c r="CM49" t="str">
        <f>IF(AND(CI49&lt;&gt;"",LEFT(CI49,1)&lt;&gt;"#"),IF(LEFT(CI49,1)="-",REPLACE(CI49,1,1,tech!$H$2),CI49),"")</f>
        <v>• [NIST SP 800-50 Building an Information Technology Security Awareness and Training Program](https://csrc.nist.gov/publications/detail/sp/800-50/final)</v>
      </c>
      <c r="CN49" t="s">
        <v>495</v>
      </c>
      <c r="CO49" s="492" t="s">
        <v>1373</v>
      </c>
      <c r="CP49" t="str">
        <f t="shared" si="107"/>
        <v>Disclose PKI information</v>
      </c>
      <c r="CQ49" t="str">
        <f t="shared" si="108"/>
        <v>Guidance</v>
      </c>
      <c r="CR49" t="str">
        <f t="shared" si="109"/>
        <v>4.3.2.GY</v>
      </c>
      <c r="CS49" t="str">
        <f>IF(AND(CO49&lt;&gt;"",LEFT(CO49,1)&lt;&gt;"#"),IF(LEFT(CO49,1)="-",REPLACE(CO49,1,1,tech!$H$2),CO49),"")</f>
        <v>Organization maintaining the PKI implementation should disclose the following information on a website or other appropriate media that can be reached by the PKI participants:</v>
      </c>
      <c r="CT49" t="s">
        <v>495</v>
      </c>
    </row>
    <row r="50" spans="3:98" x14ac:dyDescent="0.25">
      <c r="C50" s="492" t="s">
        <v>464</v>
      </c>
      <c r="D50" t="str">
        <f t="shared" si="64"/>
        <v>Advanced</v>
      </c>
      <c r="E50" t="str">
        <f t="shared" si="110"/>
        <v>Indicators</v>
      </c>
      <c r="F50" t="str">
        <f>_xlfn.CONCAT(VLOOKUP(D50,tech!$A$13:$B$17,2,0),LEFT(E50,1),IF(G50="","X","Y"))</f>
        <v>3IY</v>
      </c>
      <c r="G50" t="str">
        <f>IF(IF(LEFT(C50,1)="-",C50,"")="","",REPLACE(IF(LEFT(C50,1)="-",C50,""),1,1,tech!$H$2))</f>
        <v>• certificate services are not consistently managed</v>
      </c>
      <c r="H50" t="s">
        <v>495</v>
      </c>
      <c r="I50" s="492"/>
      <c r="J50" t="str">
        <f t="shared" si="65"/>
        <v>Formal assignment of responsible leadership</v>
      </c>
      <c r="K50" t="str">
        <f t="shared" si="66"/>
        <v>References</v>
      </c>
      <c r="L50" t="str">
        <f t="shared" si="67"/>
        <v>1.1.2.RX</v>
      </c>
      <c r="M50" t="str">
        <f>IF(AND(I50&lt;&gt;"",LEFT(I50,1)&lt;&gt;"#"),IF(LEFT(I50,1)="-",REPLACE(I50,1,1,tech!$H$2),I50),"")</f>
        <v/>
      </c>
      <c r="N50" t="s">
        <v>495</v>
      </c>
      <c r="O50" s="492" t="s">
        <v>555</v>
      </c>
      <c r="P50" t="str">
        <f t="shared" si="68"/>
        <v>Certificate policy is documented and published</v>
      </c>
      <c r="Q50" t="str">
        <f t="shared" si="69"/>
        <v>Guidance</v>
      </c>
      <c r="R50" t="str">
        <f t="shared" si="70"/>
        <v>1.2.2.GY</v>
      </c>
      <c r="S50" t="str">
        <f>IF(AND(O50&lt;&gt;"",LEFT(O50,1)&lt;&gt;"#"),IF(LEFT(O50,1)="-",REPLACE(O50,1,1,tech!$H$2),O50),"")</f>
        <v>In general a CP addresses the following items:</v>
      </c>
      <c r="T50" t="s">
        <v>495</v>
      </c>
      <c r="U50" s="492" t="s">
        <v>628</v>
      </c>
      <c r="V50" t="str">
        <f t="shared" si="71"/>
        <v>A program to monitor compliance with the policies is established</v>
      </c>
      <c r="W50" t="str">
        <f t="shared" si="72"/>
        <v>Guidance</v>
      </c>
      <c r="X50" t="str">
        <f t="shared" si="73"/>
        <v>1.3.2.GY</v>
      </c>
      <c r="Y50" t="str">
        <f>IF(AND(U50&lt;&gt;"",LEFT(U50,1)&lt;&gt;"#"),IF(LEFT(U50,1)="-",REPLACE(U50,1,1,tech!$H$2),U50),"")</f>
        <v>A PKI compliance monitoring program typically involves ongoing monitoring and testing of the controls and procedures to detect potential compliance violations associated with rules and regulations that govern the issuance, update, or revocation of certificates.</v>
      </c>
      <c r="Z50" t="s">
        <v>495</v>
      </c>
      <c r="AA50" s="492" t="s">
        <v>683</v>
      </c>
      <c r="AB50" t="str">
        <f t="shared" si="74"/>
        <v>Processes and procedures are formally documented and followed</v>
      </c>
      <c r="AC50" t="str">
        <f t="shared" si="75"/>
        <v>Assessment</v>
      </c>
      <c r="AD50" t="str">
        <f t="shared" si="76"/>
        <v>1.4.2.AY</v>
      </c>
      <c r="AE50" t="str">
        <f>IF(AND(AA50&lt;&gt;"",LEFT(AA50,1)&lt;&gt;"#"),IF(LEFT(AA50,1)="-",REPLACE(AA50,1,1,tech!$H$2),AA50),"")</f>
        <v>• Documented processes and procedures</v>
      </c>
      <c r="AF50" t="s">
        <v>495</v>
      </c>
      <c r="AG50" s="492" t="s">
        <v>710</v>
      </c>
      <c r="AH50" t="str">
        <f t="shared" si="77"/>
        <v>Inventory of cryptographic keys is documented and maintained</v>
      </c>
      <c r="AI50" t="str">
        <f t="shared" si="78"/>
        <v>Guidance</v>
      </c>
      <c r="AJ50" t="str">
        <f t="shared" si="79"/>
        <v>2.1.2.GY</v>
      </c>
      <c r="AK50" t="str">
        <f>IF(AND(AG50&lt;&gt;"",LEFT(AG50,1)&lt;&gt;"#"),IF(LEFT(AG50,1)="-",REPLACE(AG50,1,1,tech!$H$2),AG50),"")</f>
        <v>• Quickly react to changes and incidents (deprecation of algorithms, compromise, new attacks and vulnerabilities)</v>
      </c>
      <c r="AL50" t="s">
        <v>495</v>
      </c>
      <c r="AM50" s="492" t="s">
        <v>799</v>
      </c>
      <c r="AN50" t="str">
        <f t="shared" si="80"/>
        <v>Certificate cipher suites are documented</v>
      </c>
      <c r="AO50" t="str">
        <f t="shared" si="81"/>
        <v>References</v>
      </c>
      <c r="AP50" t="str">
        <f t="shared" si="82"/>
        <v>2.2.2.RX</v>
      </c>
      <c r="AQ50" t="str">
        <f>IF(AND(AM50&lt;&gt;"",LEFT(AM50,1)&lt;&gt;"#"),IF(LEFT(AM50,1)="-",REPLACE(AM50,1,1,tech!$H$2),AM50),"")</f>
        <v/>
      </c>
      <c r="AR50" t="s">
        <v>495</v>
      </c>
      <c r="AS50" s="492" t="s">
        <v>498</v>
      </c>
      <c r="AT50" t="str">
        <f t="shared" si="83"/>
        <v>Separation and segmentation principles are applied</v>
      </c>
      <c r="AU50" t="str">
        <f t="shared" si="84"/>
        <v>Guidance</v>
      </c>
      <c r="AV50" t="str">
        <f t="shared" si="85"/>
        <v>2.3.2.GX</v>
      </c>
      <c r="AW50" t="str">
        <f>IF(AND(AS50&lt;&gt;"",LEFT(AS50,1)&lt;&gt;"#"),IF(LEFT(AS50,1)="-",REPLACE(AS50,1,1,tech!$H$2),AS50),"")</f>
        <v/>
      </c>
      <c r="AX50" t="s">
        <v>495</v>
      </c>
      <c r="AY50" s="492" t="s">
        <v>498</v>
      </c>
      <c r="AZ50" t="str">
        <f t="shared" si="86"/>
        <v>Request for change structure is documented and followed</v>
      </c>
      <c r="BA50" t="str">
        <f t="shared" si="87"/>
        <v>Guidance</v>
      </c>
      <c r="BB50" t="str">
        <f t="shared" si="88"/>
        <v>2.4.2.GX</v>
      </c>
      <c r="BC50" t="str">
        <f>IF(AND(AY50&lt;&gt;"",LEFT(AY50,1)&lt;&gt;"#"),IF(LEFT(AY50,1)="-",REPLACE(AY50,1,1,tech!$H$2),AY50),"")</f>
        <v/>
      </c>
      <c r="BD50" t="s">
        <v>495</v>
      </c>
      <c r="BE50" s="492"/>
      <c r="BF50" t="str">
        <f t="shared" si="89"/>
        <v>Cyber-security management and incident planning</v>
      </c>
      <c r="BG50" t="str">
        <f t="shared" si="90"/>
        <v>Guidance</v>
      </c>
      <c r="BH50" t="str">
        <f t="shared" si="91"/>
        <v>3.1.2.GX</v>
      </c>
      <c r="BI50" t="str">
        <f>IF(AND(BE50&lt;&gt;"",LEFT(BE50,1)&lt;&gt;"#"),IF(LEFT(BE50,1)="-",REPLACE(BE50,1,1,tech!$H$2),BE50),"")</f>
        <v/>
      </c>
      <c r="BJ50" t="s">
        <v>495</v>
      </c>
      <c r="BK50" s="492"/>
      <c r="BL50" t="str">
        <f t="shared" si="92"/>
        <v>Documented integration guidance</v>
      </c>
      <c r="BM50" t="str">
        <f t="shared" si="93"/>
        <v>Guidance</v>
      </c>
      <c r="BN50" t="str">
        <f t="shared" si="94"/>
        <v>3.2.2.GY</v>
      </c>
      <c r="BO50" t="str">
        <f>IF(AND(BK50&lt;&gt;"",LEFT(BK50,1)&lt;&gt;"#"),IF(LEFT(BK50,1)="-",REPLACE(BK50,1,1,tech!$H$2),BK50),"")</f>
        <v/>
      </c>
      <c r="BP50" t="s">
        <v>495</v>
      </c>
      <c r="BQ50" s="492" t="s">
        <v>1148</v>
      </c>
      <c r="BR50" t="str">
        <f t="shared" si="95"/>
        <v>Event logs from systems are collected</v>
      </c>
      <c r="BS50" t="str">
        <f t="shared" si="96"/>
        <v>Guidance</v>
      </c>
      <c r="BT50" t="str">
        <f t="shared" si="97"/>
        <v>3.3.2.GY</v>
      </c>
      <c r="BU50" t="str">
        <f>IF(AND(BQ50&lt;&gt;"",LEFT(BQ50,1)&lt;&gt;"#"),IF(LEFT(BQ50,1)="-",REPLACE(BQ50,1,1,tech!$H$2),BQ50),"")</f>
        <v>The event logs from systems should be collected and available for analysis, including correlation with other records. Centralized logging is recommended to ensure that the logs are collected and stored consistently. Solution like security information and event management (SIEM) can be used to collect and analyze the logs.</v>
      </c>
      <c r="BV50" t="s">
        <v>495</v>
      </c>
      <c r="BW50" s="492" t="s">
        <v>1218</v>
      </c>
      <c r="BX50" t="str">
        <f t="shared" si="98"/>
        <v>Monitoring and auditing of automated process</v>
      </c>
      <c r="BY50" t="str">
        <f t="shared" si="99"/>
        <v>Guidance</v>
      </c>
      <c r="BZ50" t="str">
        <f t="shared" si="100"/>
        <v>3.4.2.GY</v>
      </c>
      <c r="CA50" t="str">
        <f>IF(AND(BW50&lt;&gt;"",LEFT(BW50,1)&lt;&gt;"#"),IF(LEFT(BW50,1)="-",REPLACE(BW50,1,1,tech!$H$2),BW50),"")</f>
        <v>The automated process of certificate management can cause significant damage if misused or misconfigured. The monitoring and auditing of the automated process is essential to prevent the risk of misuse and to detect any potential issues, inefficiencies, or exceptions.</v>
      </c>
      <c r="CB50" t="s">
        <v>495</v>
      </c>
      <c r="CC50" s="492"/>
      <c r="CD50" t="str">
        <f t="shared" si="101"/>
        <v>Resources are clearly defined</v>
      </c>
      <c r="CE50" t="str">
        <f t="shared" si="102"/>
        <v>Assessment</v>
      </c>
      <c r="CF50" t="str">
        <f t="shared" si="103"/>
        <v>4.1.2.AX</v>
      </c>
      <c r="CG50" t="str">
        <f>IF(AND(CC50&lt;&gt;"",LEFT(CC50,1)&lt;&gt;"#"),IF(LEFT(CC50,1)="-",REPLACE(CC50,1,1,tech!$H$2),CC50),"")</f>
        <v/>
      </c>
      <c r="CH50" t="s">
        <v>495</v>
      </c>
      <c r="CI50" s="492" t="s">
        <v>1296</v>
      </c>
      <c r="CJ50" t="str">
        <f t="shared" si="104"/>
        <v>Establish training plan</v>
      </c>
      <c r="CK50" t="str">
        <f t="shared" si="105"/>
        <v>References</v>
      </c>
      <c r="CL50" t="str">
        <f t="shared" si="106"/>
        <v>4.2.1.RY</v>
      </c>
      <c r="CM50" t="str">
        <f>IF(AND(CI50&lt;&gt;"",LEFT(CI50,1)&lt;&gt;"#"),IF(LEFT(CI50,1)="-",REPLACE(CI50,1,1,tech!$H$2),CI50),"")</f>
        <v>• [European Cybersecurity Skills Framework (ECSF)](https://www.enisa.europa.eu/topics/education/european-cybersecurity-skills-framework)</v>
      </c>
      <c r="CN50" t="s">
        <v>495</v>
      </c>
      <c r="CO50" s="492" t="s">
        <v>1480</v>
      </c>
      <c r="CP50" t="str">
        <f t="shared" si="107"/>
        <v>Disclose PKI information</v>
      </c>
      <c r="CQ50" t="str">
        <f t="shared" si="108"/>
        <v>Guidance</v>
      </c>
      <c r="CR50" t="str">
        <f t="shared" si="109"/>
        <v>4.3.2.GY</v>
      </c>
      <c r="CS50" t="str">
        <f>IF(AND(CO50&lt;&gt;"",LEFT(CO50,1)&lt;&gt;"#"),IF(LEFT(CO50,1)="-",REPLACE(CO50,1,1,tech!$H$2),CO50),"")</f>
        <v>• Certificate Policy</v>
      </c>
      <c r="CT50" t="s">
        <v>495</v>
      </c>
    </row>
    <row r="51" spans="3:98" x14ac:dyDescent="0.25">
      <c r="C51" s="492" t="s">
        <v>465</v>
      </c>
      <c r="D51" t="str">
        <f t="shared" si="64"/>
        <v>Advanced</v>
      </c>
      <c r="E51" t="str">
        <f t="shared" si="110"/>
        <v>Indicators</v>
      </c>
      <c r="F51" t="str">
        <f>_xlfn.CONCAT(VLOOKUP(D51,tech!$A$13:$B$17,2,0),LEFT(E51,1),IF(G51="","X","Y"))</f>
        <v>3IY</v>
      </c>
      <c r="G51" t="str">
        <f>IF(IF(LEFT(C51,1)="-",C51,"")="","",REPLACE(IF(LEFT(C51,1)="-",C51,""),1,1,tech!$H$2))</f>
        <v>• procedures are defined and followed</v>
      </c>
      <c r="H51" t="s">
        <v>495</v>
      </c>
      <c r="I51" s="492" t="s">
        <v>504</v>
      </c>
      <c r="J51" t="str">
        <f t="shared" si="65"/>
        <v>Formal assignment of responsible leadership</v>
      </c>
      <c r="K51" t="str">
        <f t="shared" si="66"/>
        <v>References</v>
      </c>
      <c r="L51" t="str">
        <f t="shared" si="67"/>
        <v>1.1.2.RY</v>
      </c>
      <c r="M51" t="str">
        <f>IF(AND(I51&lt;&gt;"",LEFT(I51,1)&lt;&gt;"#"),IF(LEFT(I51,1)="-",REPLACE(I51,1,1,tech!$H$2),I51),"")</f>
        <v>• [ISO/IEC 27001 - Information security management systems](https://www.iso.org/standard/54534.html)</v>
      </c>
      <c r="N51" t="s">
        <v>495</v>
      </c>
      <c r="O51" s="494" t="s">
        <v>601</v>
      </c>
      <c r="P51" t="str">
        <f t="shared" si="68"/>
        <v>Certificate policy is documented and published</v>
      </c>
      <c r="Q51" t="str">
        <f t="shared" si="69"/>
        <v>Guidance</v>
      </c>
      <c r="R51" t="str">
        <f t="shared" si="70"/>
        <v>1.2.2.GY</v>
      </c>
      <c r="S51" t="str">
        <f>IF(AND(O51&lt;&gt;"",LEFT(O51,1)&lt;&gt;"#"),IF(LEFT(O51,1)="-",REPLACE(O51,1,1,tech!$H$2),O51),"")</f>
        <v>• types of certificates</v>
      </c>
      <c r="T51" t="s">
        <v>495</v>
      </c>
      <c r="U51" s="494"/>
      <c r="V51" t="str">
        <f t="shared" si="71"/>
        <v>A program to monitor compliance with the policies is established</v>
      </c>
      <c r="W51" t="str">
        <f t="shared" si="72"/>
        <v>Guidance</v>
      </c>
      <c r="X51" t="str">
        <f t="shared" si="73"/>
        <v>1.3.2.GY</v>
      </c>
      <c r="Y51" t="str">
        <f>IF(AND(U51&lt;&gt;"",LEFT(U51,1)&lt;&gt;"#"),IF(LEFT(U51,1)="-",REPLACE(U51,1,1,tech!$H$2),U51),"")</f>
        <v/>
      </c>
      <c r="Z51" t="s">
        <v>495</v>
      </c>
      <c r="AA51" s="492" t="s">
        <v>684</v>
      </c>
      <c r="AB51" t="str">
        <f t="shared" si="74"/>
        <v>Processes and procedures are formally documented and followed</v>
      </c>
      <c r="AC51" t="str">
        <f t="shared" si="75"/>
        <v>Assessment</v>
      </c>
      <c r="AD51" t="str">
        <f t="shared" si="76"/>
        <v>1.4.2.AY</v>
      </c>
      <c r="AE51" t="str">
        <f>IF(AND(AA51&lt;&gt;"",LEFT(AA51,1)&lt;&gt;"#"),IF(LEFT(AA51,1)="-",REPLACE(AA51,1,1,tech!$H$2),AA51),"")</f>
        <v>• Completeness of the processes and procedures documentation</v>
      </c>
      <c r="AF51" t="s">
        <v>495</v>
      </c>
      <c r="AG51" s="492" t="s">
        <v>711</v>
      </c>
      <c r="AH51" t="str">
        <f t="shared" si="77"/>
        <v>Inventory of cryptographic keys is documented and maintained</v>
      </c>
      <c r="AI51" t="str">
        <f t="shared" si="78"/>
        <v>Guidance</v>
      </c>
      <c r="AJ51" t="str">
        <f t="shared" si="79"/>
        <v>2.1.2.GY</v>
      </c>
      <c r="AK51" t="str">
        <f>IF(AND(AG51&lt;&gt;"",LEFT(AG51,1)&lt;&gt;"#"),IF(LEFT(AG51,1)="-",REPLACE(AG51,1,1,tech!$H$2),AG51),"")</f>
        <v>• Understand impact of lifecycle changes, migration and use of keys</v>
      </c>
      <c r="AL51" t="s">
        <v>495</v>
      </c>
      <c r="AM51" s="492"/>
      <c r="AN51" t="str">
        <f t="shared" si="80"/>
        <v>Certificate cipher suites are documented</v>
      </c>
      <c r="AO51" t="str">
        <f t="shared" si="81"/>
        <v>References</v>
      </c>
      <c r="AP51" t="str">
        <f t="shared" si="82"/>
        <v>2.2.2.RX</v>
      </c>
      <c r="AQ51" t="str">
        <f>IF(AND(AM51&lt;&gt;"",LEFT(AM51,1)&lt;&gt;"#"),IF(LEFT(AM51,1)="-",REPLACE(AM51,1,1,tech!$H$2),AM51),"")</f>
        <v/>
      </c>
      <c r="AR51" t="s">
        <v>495</v>
      </c>
      <c r="AS51" s="492"/>
      <c r="AT51" t="str">
        <f t="shared" si="83"/>
        <v>Separation and segmentation principles are applied</v>
      </c>
      <c r="AU51" t="str">
        <f t="shared" si="84"/>
        <v>Guidance</v>
      </c>
      <c r="AV51" t="str">
        <f t="shared" si="85"/>
        <v>2.3.2.GX</v>
      </c>
      <c r="AW51" t="str">
        <f>IF(AND(AS51&lt;&gt;"",LEFT(AS51,1)&lt;&gt;"#"),IF(LEFT(AS51,1)="-",REPLACE(AS51,1,1,tech!$H$2),AS51),"")</f>
        <v/>
      </c>
      <c r="AX51" t="s">
        <v>495</v>
      </c>
      <c r="AY51" s="492"/>
      <c r="AZ51" t="str">
        <f t="shared" si="86"/>
        <v>Request for change structure is documented and followed</v>
      </c>
      <c r="BA51" t="str">
        <f t="shared" si="87"/>
        <v>Guidance</v>
      </c>
      <c r="BB51" t="str">
        <f t="shared" si="88"/>
        <v>2.4.2.GX</v>
      </c>
      <c r="BC51" t="str">
        <f>IF(AND(AY51&lt;&gt;"",LEFT(AY51,1)&lt;&gt;"#"),IF(LEFT(AY51,1)="-",REPLACE(AY51,1,1,tech!$H$2),AY51),"")</f>
        <v/>
      </c>
      <c r="BD51" t="s">
        <v>495</v>
      </c>
      <c r="BE51" s="492" t="s">
        <v>501</v>
      </c>
      <c r="BF51" t="str">
        <f t="shared" si="89"/>
        <v>Cyber-security management and incident planning</v>
      </c>
      <c r="BG51" t="str">
        <f t="shared" si="90"/>
        <v>Assessment</v>
      </c>
      <c r="BH51" t="str">
        <f t="shared" si="91"/>
        <v>3.1.2.AX</v>
      </c>
      <c r="BI51" t="str">
        <f>IF(AND(BE51&lt;&gt;"",LEFT(BE51,1)&lt;&gt;"#"),IF(LEFT(BE51,1)="-",REPLACE(BE51,1,1,tech!$H$2),BE51),"")</f>
        <v/>
      </c>
      <c r="BJ51" t="s">
        <v>495</v>
      </c>
      <c r="BK51" s="492" t="s">
        <v>1098</v>
      </c>
      <c r="BL51" t="str">
        <f t="shared" si="92"/>
        <v>Documented integration guidance</v>
      </c>
      <c r="BM51" t="str">
        <f t="shared" si="93"/>
        <v>Guidance</v>
      </c>
      <c r="BN51" t="str">
        <f t="shared" si="94"/>
        <v>3.2.2.GY</v>
      </c>
      <c r="BO51" t="str">
        <f>IF(AND(BK51&lt;&gt;"",LEFT(BK51,1)&lt;&gt;"#"),IF(LEFT(BK51,1)="-",REPLACE(BK51,1,1,tech!$H$2),BK51),"")</f>
        <v>The integration guidance should be available for all critical PKI components and should cover at least the following information:</v>
      </c>
      <c r="BP51" t="s">
        <v>495</v>
      </c>
      <c r="BQ51" s="492"/>
      <c r="BR51" t="str">
        <f t="shared" si="95"/>
        <v>Event logs from systems are collected</v>
      </c>
      <c r="BS51" t="str">
        <f t="shared" si="96"/>
        <v>Guidance</v>
      </c>
      <c r="BT51" t="str">
        <f t="shared" si="97"/>
        <v>3.3.2.GY</v>
      </c>
      <c r="BU51" t="str">
        <f>IF(AND(BQ51&lt;&gt;"",LEFT(BQ51,1)&lt;&gt;"#"),IF(LEFT(BQ51,1)="-",REPLACE(BQ51,1,1,tech!$H$2),BQ51),"")</f>
        <v/>
      </c>
      <c r="BV51" t="s">
        <v>495</v>
      </c>
      <c r="BW51" s="492"/>
      <c r="BX51" t="str">
        <f t="shared" si="98"/>
        <v>Monitoring and auditing of automated process</v>
      </c>
      <c r="BY51" t="str">
        <f t="shared" si="99"/>
        <v>Guidance</v>
      </c>
      <c r="BZ51" t="str">
        <f t="shared" si="100"/>
        <v>3.4.2.GY</v>
      </c>
      <c r="CA51" t="str">
        <f>IF(AND(BW51&lt;&gt;"",LEFT(BW51,1)&lt;&gt;"#"),IF(LEFT(BW51,1)="-",REPLACE(BW51,1,1,tech!$H$2),BW51),"")</f>
        <v/>
      </c>
      <c r="CB51" t="s">
        <v>495</v>
      </c>
      <c r="CC51" s="492" t="s">
        <v>1266</v>
      </c>
      <c r="CD51" t="str">
        <f t="shared" si="101"/>
        <v>Resources are clearly defined</v>
      </c>
      <c r="CE51" t="str">
        <f t="shared" si="102"/>
        <v>Assessment</v>
      </c>
      <c r="CF51" t="str">
        <f t="shared" si="103"/>
        <v>4.1.2.AY</v>
      </c>
      <c r="CG51" t="str">
        <f>IF(AND(CC51&lt;&gt;"",LEFT(CC51,1)&lt;&gt;"#"),IF(LEFT(CC51,1)="-",REPLACE(CC51,1,1,tech!$H$2),CC51),"")</f>
        <v>The following is a sample evidence that can be used to assess the requirement:</v>
      </c>
      <c r="CH51" t="s">
        <v>495</v>
      </c>
      <c r="CI51" s="492"/>
      <c r="CJ51" t="str">
        <f t="shared" si="104"/>
        <v>Establish training plan</v>
      </c>
      <c r="CK51" t="str">
        <f t="shared" si="105"/>
        <v>References</v>
      </c>
      <c r="CL51" t="str">
        <f t="shared" si="106"/>
        <v>4.2.1.RX</v>
      </c>
      <c r="CM51" t="str">
        <f>IF(AND(CI51&lt;&gt;"",LEFT(CI51,1)&lt;&gt;"#"),IF(LEFT(CI51,1)="-",REPLACE(CI51,1,1,tech!$H$2),CI51),"")</f>
        <v/>
      </c>
      <c r="CN51" t="s">
        <v>495</v>
      </c>
      <c r="CO51" s="492" t="s">
        <v>1481</v>
      </c>
      <c r="CP51" t="str">
        <f t="shared" si="107"/>
        <v>Disclose PKI information</v>
      </c>
      <c r="CQ51" t="str">
        <f t="shared" si="108"/>
        <v>Guidance</v>
      </c>
      <c r="CR51" t="str">
        <f t="shared" si="109"/>
        <v>4.3.2.GY</v>
      </c>
      <c r="CS51" t="str">
        <f>IF(AND(CO51&lt;&gt;"",LEFT(CO51,1)&lt;&gt;"#"),IF(LEFT(CO51,1)="-",REPLACE(CO51,1,1,tech!$H$2),CO51),"")</f>
        <v>• Certification Practice Statement</v>
      </c>
      <c r="CT51" t="s">
        <v>495</v>
      </c>
    </row>
    <row r="52" spans="3:98" x14ac:dyDescent="0.25">
      <c r="C52" s="492" t="s">
        <v>466</v>
      </c>
      <c r="D52" t="str">
        <f t="shared" si="64"/>
        <v>Advanced</v>
      </c>
      <c r="E52" t="str">
        <f t="shared" si="110"/>
        <v>Indicators</v>
      </c>
      <c r="F52" t="str">
        <f>_xlfn.CONCAT(VLOOKUP(D52,tech!$A$13:$B$17,2,0),LEFT(E52,1),IF(G52="","X","Y"))</f>
        <v>3IY</v>
      </c>
      <c r="G52" t="str">
        <f>IF(IF(LEFT(C52,1)="-",C52,"")="","",REPLACE(IF(LEFT(C52,1)="-",C52,""),1,1,tech!$H$2))</f>
        <v>• CP and CPS partially exist but not followed</v>
      </c>
      <c r="H52" t="s">
        <v>495</v>
      </c>
      <c r="I52" s="492"/>
      <c r="J52" t="str">
        <f t="shared" si="65"/>
        <v>Formal assignment of responsible leadership</v>
      </c>
      <c r="K52" t="str">
        <f t="shared" si="66"/>
        <v>References</v>
      </c>
      <c r="L52" t="str">
        <f t="shared" si="67"/>
        <v>1.1.2.RX</v>
      </c>
      <c r="M52" t="str">
        <f>IF(AND(I52&lt;&gt;"",LEFT(I52,1)&lt;&gt;"#"),IF(LEFT(I52,1)="-",REPLACE(I52,1,1,tech!$H$2),I52),"")</f>
        <v/>
      </c>
      <c r="N52" t="s">
        <v>495</v>
      </c>
      <c r="O52" s="494" t="s">
        <v>602</v>
      </c>
      <c r="P52" t="str">
        <f t="shared" si="68"/>
        <v>Certificate policy is documented and published</v>
      </c>
      <c r="Q52" t="str">
        <f t="shared" si="69"/>
        <v>Guidance</v>
      </c>
      <c r="R52" t="str">
        <f t="shared" si="70"/>
        <v>1.2.2.GY</v>
      </c>
      <c r="S52" t="str">
        <f>IF(AND(O52&lt;&gt;"",LEFT(O52,1)&lt;&gt;"#"),IF(LEFT(O52,1)="-",REPLACE(O52,1,1,tech!$H$2),O52),"")</f>
        <v>• Document name and Identification</v>
      </c>
      <c r="T52" t="s">
        <v>495</v>
      </c>
      <c r="U52" s="494" t="s">
        <v>629</v>
      </c>
      <c r="V52" t="str">
        <f t="shared" si="71"/>
        <v>A program to monitor compliance with the policies is established</v>
      </c>
      <c r="W52" t="str">
        <f t="shared" si="72"/>
        <v>Guidance</v>
      </c>
      <c r="X52" t="str">
        <f t="shared" si="73"/>
        <v>1.3.2.GY</v>
      </c>
      <c r="Y52" t="str">
        <f>IF(AND(U52&lt;&gt;"",LEFT(U52,1)&lt;&gt;"#"),IF(LEFT(U52,1)="-",REPLACE(U52,1,1,tech!$H$2),U52),"")</f>
        <v>These programs often include a risk assessment to identify and assess potential risks that could lead to non-compliance, including regulatory changes, operational changes, or employee turnover.</v>
      </c>
      <c r="Z52" t="s">
        <v>495</v>
      </c>
      <c r="AA52" s="492" t="s">
        <v>685</v>
      </c>
      <c r="AB52" t="str">
        <f t="shared" si="74"/>
        <v>Processes and procedures are formally documented and followed</v>
      </c>
      <c r="AC52" t="str">
        <f t="shared" si="75"/>
        <v>Assessment</v>
      </c>
      <c r="AD52" t="str">
        <f t="shared" si="76"/>
        <v>1.4.2.AY</v>
      </c>
      <c r="AE52" t="str">
        <f>IF(AND(AA52&lt;&gt;"",LEFT(AA52,1)&lt;&gt;"#"),IF(LEFT(AA52,1)="-",REPLACE(AA52,1,1,tech!$H$2),AA52),"")</f>
        <v>• Evidence of the processes and procedures usage</v>
      </c>
      <c r="AF52" t="s">
        <v>495</v>
      </c>
      <c r="AG52" s="492"/>
      <c r="AH52" t="str">
        <f t="shared" si="77"/>
        <v>Inventory of cryptographic keys is documented and maintained</v>
      </c>
      <c r="AI52" t="str">
        <f t="shared" si="78"/>
        <v>Guidance</v>
      </c>
      <c r="AJ52" t="str">
        <f t="shared" si="79"/>
        <v>2.1.2.GY</v>
      </c>
      <c r="AK52" t="str">
        <f>IF(AND(AG52&lt;&gt;"",LEFT(AG52,1)&lt;&gt;"#"),IF(LEFT(AG52,1)="-",REPLACE(AG52,1,1,tech!$H$2),AG52),"")</f>
        <v/>
      </c>
      <c r="AL52" t="s">
        <v>495</v>
      </c>
      <c r="AM52" s="492" t="s">
        <v>498</v>
      </c>
      <c r="AN52" t="str">
        <f t="shared" si="80"/>
        <v>Certificate cipher suites are documented</v>
      </c>
      <c r="AO52" t="str">
        <f t="shared" si="81"/>
        <v>Guidance</v>
      </c>
      <c r="AP52" t="str">
        <f t="shared" si="82"/>
        <v>2.2.2.GX</v>
      </c>
      <c r="AQ52" t="str">
        <f>IF(AND(AM52&lt;&gt;"",LEFT(AM52,1)&lt;&gt;"#"),IF(LEFT(AM52,1)="-",REPLACE(AM52,1,1,tech!$H$2),AM52),"")</f>
        <v/>
      </c>
      <c r="AR52" t="s">
        <v>495</v>
      </c>
      <c r="AS52" s="492" t="s">
        <v>899</v>
      </c>
      <c r="AT52" t="str">
        <f t="shared" si="83"/>
        <v>Separation and segmentation principles are applied</v>
      </c>
      <c r="AU52" t="str">
        <f t="shared" si="84"/>
        <v>Guidance</v>
      </c>
      <c r="AV52" t="str">
        <f t="shared" si="85"/>
        <v>2.3.2.GY</v>
      </c>
      <c r="AW52" t="str">
        <f>IF(AND(AS52&lt;&gt;"",LEFT(AS52,1)&lt;&gt;"#"),IF(LEFT(AS52,1)="-",REPLACE(AS52,1,1,tech!$H$2),AS52),"")</f>
        <v>The PKI environment should be properly separated and segmented from other environments and systems. The separation and segmentation should be applied on all levels, including network, infrastructure, and application. The separation and segmentation should be applied based on the security requirements and risk assessment.</v>
      </c>
      <c r="AX52" t="s">
        <v>495</v>
      </c>
      <c r="AY52" s="492" t="s">
        <v>967</v>
      </c>
      <c r="AZ52" t="str">
        <f t="shared" si="86"/>
        <v>Request for change structure is documented and followed</v>
      </c>
      <c r="BA52" t="str">
        <f t="shared" si="87"/>
        <v>Guidance</v>
      </c>
      <c r="BB52" t="str">
        <f t="shared" si="88"/>
        <v>2.4.2.GY</v>
      </c>
      <c r="BC52" t="str">
        <f>IF(AND(AY52&lt;&gt;"",LEFT(AY52,1)&lt;&gt;"#"),IF(LEFT(AY52,1)="-",REPLACE(AY52,1,1,tech!$H$2),AY52),"")</f>
        <v>The request for change structure is the basic stone of each change management process. It provides information about a change, its scope, and other relevant data. The request for change structure should be formally documented and followed by all stakeholders involved.</v>
      </c>
      <c r="BD52" t="s">
        <v>495</v>
      </c>
      <c r="BE52" s="492"/>
      <c r="BF52" t="str">
        <f t="shared" si="89"/>
        <v>Cyber-security management and incident planning</v>
      </c>
      <c r="BG52" t="str">
        <f t="shared" si="90"/>
        <v>Assessment</v>
      </c>
      <c r="BH52" t="str">
        <f t="shared" si="91"/>
        <v>3.1.2.AX</v>
      </c>
      <c r="BI52" t="str">
        <f>IF(AND(BE52&lt;&gt;"",LEFT(BE52,1)&lt;&gt;"#"),IF(LEFT(BE52,1)="-",REPLACE(BE52,1,1,tech!$H$2),BE52),"")</f>
        <v/>
      </c>
      <c r="BJ52" t="s">
        <v>495</v>
      </c>
      <c r="BK52" s="492" t="s">
        <v>1122</v>
      </c>
      <c r="BL52" t="str">
        <f t="shared" si="92"/>
        <v>Documented integration guidance</v>
      </c>
      <c r="BM52" t="str">
        <f t="shared" si="93"/>
        <v>Guidance</v>
      </c>
      <c r="BN52" t="str">
        <f t="shared" si="94"/>
        <v>3.2.2.GY</v>
      </c>
      <c r="BO52" t="str">
        <f>IF(AND(BK52&lt;&gt;"",LEFT(BK52,1)&lt;&gt;"#"),IF(LEFT(BK52,1)="-",REPLACE(BK52,1,1,tech!$H$2),BK52),"")</f>
        <v>• Integration requirements and Prerequisites</v>
      </c>
      <c r="BP52" t="s">
        <v>495</v>
      </c>
      <c r="BQ52" s="492" t="s">
        <v>1149</v>
      </c>
      <c r="BR52" t="str">
        <f t="shared" si="95"/>
        <v>Event logs from systems are collected</v>
      </c>
      <c r="BS52" t="str">
        <f t="shared" si="96"/>
        <v>Guidance</v>
      </c>
      <c r="BT52" t="str">
        <f t="shared" si="97"/>
        <v>3.3.2.GY</v>
      </c>
      <c r="BU52" t="str">
        <f>IF(AND(BQ52&lt;&gt;"",LEFT(BQ52,1)&lt;&gt;"#"),IF(LEFT(BQ52,1)="-",REPLACE(BQ52,1,1,tech!$H$2),BQ52),"")</f>
        <v>The availability of records for analysis depends on understanding logging format and interpretation of the information, therefore each system should provide logs in a consistent format that can be further processed and analyzed (or automated).</v>
      </c>
      <c r="BV52" t="s">
        <v>495</v>
      </c>
      <c r="BW52" s="492" t="s">
        <v>1219</v>
      </c>
      <c r="BX52" t="str">
        <f t="shared" si="98"/>
        <v>Monitoring and auditing of automated process</v>
      </c>
      <c r="BY52" t="str">
        <f t="shared" si="99"/>
        <v>Guidance</v>
      </c>
      <c r="BZ52" t="str">
        <f t="shared" si="100"/>
        <v>3.4.2.GY</v>
      </c>
      <c r="CA52" t="str">
        <f>IF(AND(BW52&lt;&gt;"",LEFT(BW52,1)&lt;&gt;"#"),IF(LEFT(BW52,1)="-",REPLACE(BW52,1,1,tech!$H$2),BW52),"")</f>
        <v>The monitoring and auditing should be performed on a regular basis and should be aligned with the overall monitoring and auditing strategy of the organization.</v>
      </c>
      <c r="CB52" t="s">
        <v>495</v>
      </c>
      <c r="CC52" s="492" t="s">
        <v>1273</v>
      </c>
      <c r="CD52" t="str">
        <f t="shared" si="101"/>
        <v>Resources are clearly defined</v>
      </c>
      <c r="CE52" t="str">
        <f t="shared" si="102"/>
        <v>Assessment</v>
      </c>
      <c r="CF52" t="str">
        <f t="shared" si="103"/>
        <v>4.1.2.AY</v>
      </c>
      <c r="CG52" t="str">
        <f>IF(AND(CC52&lt;&gt;"",LEFT(CC52,1)&lt;&gt;"#"),IF(LEFT(CC52,1)="-",REPLACE(CC52,1,1,tech!$H$2),CC52),"")</f>
        <v>• Resource management process</v>
      </c>
      <c r="CH52" t="s">
        <v>495</v>
      </c>
      <c r="CI52" s="492" t="s">
        <v>1297</v>
      </c>
      <c r="CJ52" t="str">
        <f t="shared" si="104"/>
        <v>Responsible personnel receive training</v>
      </c>
      <c r="CK52" t="str">
        <f t="shared" si="105"/>
        <v>References</v>
      </c>
      <c r="CL52" t="str">
        <f t="shared" si="106"/>
        <v>4.2.2.RX</v>
      </c>
      <c r="CM52" t="str">
        <f>IF(AND(CI52&lt;&gt;"",LEFT(CI52,1)&lt;&gt;"#"),IF(LEFT(CI52,1)="-",REPLACE(CI52,1,1,tech!$H$2),CI52),"")</f>
        <v/>
      </c>
      <c r="CN52" t="s">
        <v>495</v>
      </c>
      <c r="CO52" s="492" t="s">
        <v>1383</v>
      </c>
      <c r="CP52" t="str">
        <f t="shared" si="107"/>
        <v>Disclose PKI information</v>
      </c>
      <c r="CQ52" t="str">
        <f t="shared" si="108"/>
        <v>Guidance</v>
      </c>
      <c r="CR52" t="str">
        <f t="shared" si="109"/>
        <v>4.3.2.GY</v>
      </c>
      <c r="CS52" t="str">
        <f>IF(AND(CO52&lt;&gt;"",LEFT(CO52,1)&lt;&gt;"#"),IF(LEFT(CO52,1)="-",REPLACE(CO52,1,1,tech!$H$2),CO52),"")</f>
        <v>• Revocation information</v>
      </c>
      <c r="CT52" t="s">
        <v>495</v>
      </c>
    </row>
    <row r="53" spans="3:98" x14ac:dyDescent="0.25">
      <c r="C53" s="492" t="s">
        <v>467</v>
      </c>
      <c r="D53" t="str">
        <f t="shared" si="64"/>
        <v>Advanced</v>
      </c>
      <c r="E53" t="str">
        <f t="shared" si="110"/>
        <v>Indicators</v>
      </c>
      <c r="F53" t="str">
        <f>_xlfn.CONCAT(VLOOKUP(D53,tech!$A$13:$B$17,2,0),LEFT(E53,1),IF(G53="","X","Y"))</f>
        <v>3IY</v>
      </c>
      <c r="G53" t="str">
        <f>IF(IF(LEFT(C53,1)="-",C53,"")="","",REPLACE(IF(LEFT(C53,1)="-",C53,""),1,1,tech!$H$2))</f>
        <v>• partially available resources and knowledge</v>
      </c>
      <c r="H53" t="s">
        <v>495</v>
      </c>
      <c r="I53" s="492" t="s">
        <v>508</v>
      </c>
      <c r="J53" t="str">
        <f t="shared" si="65"/>
        <v>Scope and business drivers for PKI</v>
      </c>
      <c r="K53" t="str">
        <f t="shared" si="66"/>
        <v>References</v>
      </c>
      <c r="L53" t="str">
        <f t="shared" si="67"/>
        <v>1.1.3.RX</v>
      </c>
      <c r="M53" t="str">
        <f>IF(AND(I53&lt;&gt;"",LEFT(I53,1)&lt;&gt;"#"),IF(LEFT(I53,1)="-",REPLACE(I53,1,1,tech!$H$2),I53),"")</f>
        <v/>
      </c>
      <c r="N53" t="s">
        <v>495</v>
      </c>
      <c r="O53" s="494" t="s">
        <v>603</v>
      </c>
      <c r="P53" t="str">
        <f t="shared" si="68"/>
        <v>Certificate policy is documented and published</v>
      </c>
      <c r="Q53" t="str">
        <f t="shared" si="69"/>
        <v>Guidance</v>
      </c>
      <c r="R53" t="str">
        <f t="shared" si="70"/>
        <v>1.2.2.GY</v>
      </c>
      <c r="S53" t="str">
        <f>IF(AND(O53&lt;&gt;"",LEFT(O53,1)&lt;&gt;"#"),IF(LEFT(O53,1)="-",REPLACE(O53,1,1,tech!$H$2),O53),"")</f>
        <v>• PKI participants</v>
      </c>
      <c r="T53" t="s">
        <v>495</v>
      </c>
      <c r="U53" s="494"/>
      <c r="V53" t="str">
        <f t="shared" si="71"/>
        <v>A program to monitor compliance with the policies is established</v>
      </c>
      <c r="W53" t="str">
        <f t="shared" si="72"/>
        <v>Guidance</v>
      </c>
      <c r="X53" t="str">
        <f t="shared" si="73"/>
        <v>1.3.2.GY</v>
      </c>
      <c r="Y53" t="str">
        <f>IF(AND(U53&lt;&gt;"",LEFT(U53,1)&lt;&gt;"#"),IF(LEFT(U53,1)="-",REPLACE(U53,1,1,tech!$H$2),U53),"")</f>
        <v/>
      </c>
      <c r="Z53" t="s">
        <v>495</v>
      </c>
      <c r="AA53" s="492" t="s">
        <v>686</v>
      </c>
      <c r="AB53" t="str">
        <f t="shared" si="74"/>
        <v>Processes and procedures are formally documented and followed</v>
      </c>
      <c r="AC53" t="str">
        <f t="shared" si="75"/>
        <v>Assessment</v>
      </c>
      <c r="AD53" t="str">
        <f t="shared" si="76"/>
        <v>1.4.2.AY</v>
      </c>
      <c r="AE53" t="str">
        <f>IF(AND(AA53&lt;&gt;"",LEFT(AA53,1)&lt;&gt;"#"),IF(LEFT(AA53,1)="-",REPLACE(AA53,1,1,tech!$H$2),AA53),"")</f>
        <v>• Interview with the PKI management and staff</v>
      </c>
      <c r="AF53" t="s">
        <v>495</v>
      </c>
      <c r="AG53" s="492" t="s">
        <v>712</v>
      </c>
      <c r="AH53" t="str">
        <f t="shared" si="77"/>
        <v>Inventory of cryptographic keys is documented and maintained</v>
      </c>
      <c r="AI53" t="str">
        <f t="shared" si="78"/>
        <v>Guidance</v>
      </c>
      <c r="AJ53" t="str">
        <f t="shared" si="79"/>
        <v>2.1.2.GY</v>
      </c>
      <c r="AK53" t="str">
        <f>IF(AND(AG53&lt;&gt;"",LEFT(AG53,1)&lt;&gt;"#"),IF(LEFT(AG53,1)="-",REPLACE(AG53,1,1,tech!$H$2),AG53),"")</f>
        <v>Although the cryptographic key inventory may be implemented and maintained using various tools and approaches, it should serve the purpose of having a consistent and accurate map of all cryptographic keys deployed in the organization with details like algorithm, key length, usage, storage, location, generation and distribution method, backup and recovery, key check value, fingerprint, number of share or components, owner or responsible person, uniqueness, crypto-periods, or any other applicable attributes and properties of the key.</v>
      </c>
      <c r="AL53" t="s">
        <v>495</v>
      </c>
      <c r="AM53" s="492"/>
      <c r="AN53" t="str">
        <f t="shared" si="80"/>
        <v>Certificate cipher suites are documented</v>
      </c>
      <c r="AO53" t="str">
        <f t="shared" si="81"/>
        <v>Guidance</v>
      </c>
      <c r="AP53" t="str">
        <f t="shared" si="82"/>
        <v>2.2.2.GX</v>
      </c>
      <c r="AQ53" t="str">
        <f>IF(AND(AM53&lt;&gt;"",LEFT(AM53,1)&lt;&gt;"#"),IF(LEFT(AM53,1)="-",REPLACE(AM53,1,1,tech!$H$2),AM53),"")</f>
        <v/>
      </c>
      <c r="AR53" t="s">
        <v>495</v>
      </c>
      <c r="AS53" s="492"/>
      <c r="AT53" t="str">
        <f t="shared" si="83"/>
        <v>Separation and segmentation principles are applied</v>
      </c>
      <c r="AU53" t="str">
        <f t="shared" si="84"/>
        <v>Guidance</v>
      </c>
      <c r="AV53" t="str">
        <f t="shared" si="85"/>
        <v>2.3.2.GY</v>
      </c>
      <c r="AW53" t="str">
        <f>IF(AND(AS53&lt;&gt;"",LEFT(AS53,1)&lt;&gt;"#"),IF(LEFT(AS53,1)="-",REPLACE(AS53,1,1,tech!$H$2),AS53),"")</f>
        <v/>
      </c>
      <c r="AX53" t="s">
        <v>495</v>
      </c>
      <c r="AY53" s="492"/>
      <c r="AZ53" t="str">
        <f t="shared" si="86"/>
        <v>Request for change structure is documented and followed</v>
      </c>
      <c r="BA53" t="str">
        <f t="shared" si="87"/>
        <v>Guidance</v>
      </c>
      <c r="BB53" t="str">
        <f t="shared" si="88"/>
        <v>2.4.2.GY</v>
      </c>
      <c r="BC53" t="str">
        <f>IF(AND(AY53&lt;&gt;"",LEFT(AY53,1)&lt;&gt;"#"),IF(LEFT(AY53,1)="-",REPLACE(AY53,1,1,tech!$H$2),AY53),"")</f>
        <v/>
      </c>
      <c r="BD53" t="s">
        <v>495</v>
      </c>
      <c r="BE53" s="492" t="s">
        <v>502</v>
      </c>
      <c r="BF53" t="str">
        <f t="shared" si="89"/>
        <v>Cyber-security management and incident planning</v>
      </c>
      <c r="BG53" t="str">
        <f t="shared" si="90"/>
        <v>Assessment</v>
      </c>
      <c r="BH53" t="str">
        <f t="shared" si="91"/>
        <v>3.1.2.AY</v>
      </c>
      <c r="BI53" t="str">
        <f>IF(AND(BE53&lt;&gt;"",LEFT(BE53,1)&lt;&gt;"#"),IF(LEFT(BE53,1)="-",REPLACE(BE53,1,1,tech!$H$2),BE53),"")</f>
        <v>The following is sample evidence that can be used to assess the requirement:</v>
      </c>
      <c r="BJ53" t="s">
        <v>495</v>
      </c>
      <c r="BK53" s="492" t="s">
        <v>1123</v>
      </c>
      <c r="BL53" t="str">
        <f t="shared" si="92"/>
        <v>Documented integration guidance</v>
      </c>
      <c r="BM53" t="str">
        <f t="shared" si="93"/>
        <v>Guidance</v>
      </c>
      <c r="BN53" t="str">
        <f t="shared" si="94"/>
        <v>3.2.2.GY</v>
      </c>
      <c r="BO53" t="str">
        <f>IF(AND(BK53&lt;&gt;"",LEFT(BK53,1)&lt;&gt;"#"),IF(LEFT(BK53,1)="-",REPLACE(BK53,1,1,tech!$H$2),BK53),"")</f>
        <v>• applicable standards and protocols</v>
      </c>
      <c r="BP53" t="s">
        <v>495</v>
      </c>
      <c r="BQ53" s="492"/>
      <c r="BR53" t="str">
        <f t="shared" si="95"/>
        <v>Event logs from systems are collected</v>
      </c>
      <c r="BS53" t="str">
        <f t="shared" si="96"/>
        <v>Guidance</v>
      </c>
      <c r="BT53" t="str">
        <f t="shared" si="97"/>
        <v>3.3.2.GY</v>
      </c>
      <c r="BU53" t="str">
        <f>IF(AND(BQ53&lt;&gt;"",LEFT(BQ53,1)&lt;&gt;"#"),IF(LEFT(BQ53,1)="-",REPLACE(BQ53,1,1,tech!$H$2),BQ53),"")</f>
        <v/>
      </c>
      <c r="BV53" t="s">
        <v>495</v>
      </c>
      <c r="BW53" s="492" t="s">
        <v>1220</v>
      </c>
      <c r="BX53" t="str">
        <f t="shared" si="98"/>
        <v>Monitoring and auditing of automated process</v>
      </c>
      <c r="BY53" t="str">
        <f t="shared" si="99"/>
        <v>Guidance</v>
      </c>
      <c r="BZ53" t="str">
        <f t="shared" si="100"/>
        <v>3.4.2.GY</v>
      </c>
      <c r="CA53" t="str">
        <f>IF(AND(BW53&lt;&gt;"",LEFT(BW53,1)&lt;&gt;"#"),IF(LEFT(BW53,1)="-",REPLACE(BW53,1,1,tech!$H$2),BW53),"")</f>
        <v>It should provide sufficient information to detect any potential issues with the automated process. For successful detection or identification of issues, proper expectations should be based on the description of the automated process.</v>
      </c>
      <c r="CB53" t="s">
        <v>495</v>
      </c>
      <c r="CC53" s="492" t="s">
        <v>1274</v>
      </c>
      <c r="CD53" t="str">
        <f t="shared" si="101"/>
        <v>Resources are clearly defined</v>
      </c>
      <c r="CE53" t="str">
        <f t="shared" si="102"/>
        <v>Assessment</v>
      </c>
      <c r="CF53" t="str">
        <f t="shared" si="103"/>
        <v>4.1.2.AY</v>
      </c>
      <c r="CG53" t="str">
        <f>IF(AND(CC53&lt;&gt;"",LEFT(CC53,1)&lt;&gt;"#"),IF(LEFT(CC53,1)="-",REPLACE(CC53,1,1,tech!$H$2),CC53),"")</f>
        <v>• Documented requirements on the resources</v>
      </c>
      <c r="CH53" t="s">
        <v>495</v>
      </c>
      <c r="CI53" s="492"/>
      <c r="CJ53" t="str">
        <f t="shared" si="104"/>
        <v>Responsible personnel receive training</v>
      </c>
      <c r="CK53" t="str">
        <f t="shared" si="105"/>
        <v>References</v>
      </c>
      <c r="CL53" t="str">
        <f t="shared" si="106"/>
        <v>4.2.2.RX</v>
      </c>
      <c r="CM53" t="str">
        <f>IF(AND(CI53&lt;&gt;"",LEFT(CI53,1)&lt;&gt;"#"),IF(LEFT(CI53,1)="-",REPLACE(CI53,1,1,tech!$H$2),CI53),"")</f>
        <v/>
      </c>
      <c r="CN53" t="s">
        <v>495</v>
      </c>
      <c r="CO53" s="492" t="s">
        <v>1384</v>
      </c>
      <c r="CP53" t="str">
        <f t="shared" si="107"/>
        <v>Disclose PKI information</v>
      </c>
      <c r="CQ53" t="str">
        <f t="shared" si="108"/>
        <v>Guidance</v>
      </c>
      <c r="CR53" t="str">
        <f t="shared" si="109"/>
        <v>4.3.2.GY</v>
      </c>
      <c r="CS53" t="str">
        <f>IF(AND(CO53&lt;&gt;"",LEFT(CO53,1)&lt;&gt;"#"),IF(LEFT(CO53,1)="-",REPLACE(CO53,1,1,tech!$H$2),CO53),"")</f>
        <v>• Valid CA certificates</v>
      </c>
      <c r="CT53" t="s">
        <v>495</v>
      </c>
    </row>
    <row r="54" spans="3:98" x14ac:dyDescent="0.25">
      <c r="C54" s="492"/>
      <c r="D54" t="str">
        <f t="shared" si="64"/>
        <v>Advanced</v>
      </c>
      <c r="E54" t="str">
        <f t="shared" si="110"/>
        <v>Indicators</v>
      </c>
      <c r="F54" t="str">
        <f>_xlfn.CONCAT(VLOOKUP(D54,tech!$A$13:$B$17,2,0),LEFT(E54,1),IF(G54="","X","Y"))</f>
        <v>3IX</v>
      </c>
      <c r="G54" t="str">
        <f>IF(IF(LEFT(C54,1)="-",C54,"")="","",REPLACE(IF(LEFT(C54,1)="-",C54,""),1,1,tech!$H$2))</f>
        <v/>
      </c>
      <c r="H54" t="s">
        <v>495</v>
      </c>
      <c r="I54" s="492"/>
      <c r="J54" t="str">
        <f t="shared" si="65"/>
        <v>Scope and business drivers for PKI</v>
      </c>
      <c r="K54" t="str">
        <f t="shared" si="66"/>
        <v>References</v>
      </c>
      <c r="L54" t="str">
        <f t="shared" si="67"/>
        <v>1.1.3.RX</v>
      </c>
      <c r="M54" t="str">
        <f>IF(AND(I54&lt;&gt;"",LEFT(I54,1)&lt;&gt;"#"),IF(LEFT(I54,1)="-",REPLACE(I54,1,1,tech!$H$2),I54),"")</f>
        <v/>
      </c>
      <c r="N54" t="s">
        <v>495</v>
      </c>
      <c r="O54" s="494" t="s">
        <v>604</v>
      </c>
      <c r="P54" t="str">
        <f t="shared" si="68"/>
        <v>Certificate policy is documented and published</v>
      </c>
      <c r="Q54" t="str">
        <f t="shared" si="69"/>
        <v>Guidance</v>
      </c>
      <c r="R54" t="str">
        <f t="shared" si="70"/>
        <v>1.2.2.GY</v>
      </c>
      <c r="S54" t="str">
        <f>IF(AND(O54&lt;&gt;"",LEFT(O54,1)&lt;&gt;"#"),IF(LEFT(O54,1)="-",REPLACE(O54,1,1,tech!$H$2),O54),"")</f>
        <v>• certificate usage</v>
      </c>
      <c r="T54" t="s">
        <v>495</v>
      </c>
      <c r="U54" s="494" t="s">
        <v>630</v>
      </c>
      <c r="V54" t="str">
        <f t="shared" si="71"/>
        <v>A program to monitor compliance with the policies is established</v>
      </c>
      <c r="W54" t="str">
        <f t="shared" si="72"/>
        <v>Guidance</v>
      </c>
      <c r="X54" t="str">
        <f t="shared" si="73"/>
        <v>1.3.2.GY</v>
      </c>
      <c r="Y54" t="str">
        <f>IF(AND(U54&lt;&gt;"",LEFT(U54,1)&lt;&gt;"#"),IF(LEFT(U54,1)="-",REPLACE(U54,1,1,tech!$H$2),U54),"")</f>
        <v>The monitoring process may include reviewing documentation, conducting interviews with key stakeholders, and reporting any issues or compliance violations.  Reporting from compliance monitoring should be communicated to those stakeholders who committed the violation(s) and those stakeholders who are empowered to take corrective action to address the violations observed.</v>
      </c>
      <c r="Z54" t="s">
        <v>495</v>
      </c>
      <c r="AA54" s="492" t="s">
        <v>687</v>
      </c>
      <c r="AB54" t="str">
        <f t="shared" si="74"/>
        <v>Processes and procedures are formally documented and followed</v>
      </c>
      <c r="AC54" t="str">
        <f t="shared" si="75"/>
        <v>Assessment</v>
      </c>
      <c r="AD54" t="str">
        <f t="shared" si="76"/>
        <v>1.4.2.AY</v>
      </c>
      <c r="AE54" t="str">
        <f>IF(AND(AA54&lt;&gt;"",LEFT(AA54,1)&lt;&gt;"#"),IF(LEFT(AA54,1)="-",REPLACE(AA54,1,1,tech!$H$2),AA54),"")</f>
        <v>• Training materials covering the processes and procedures</v>
      </c>
      <c r="AF54" t="s">
        <v>495</v>
      </c>
      <c r="AG54" s="492"/>
      <c r="AH54" t="str">
        <f t="shared" si="77"/>
        <v>Inventory of cryptographic keys is documented and maintained</v>
      </c>
      <c r="AI54" t="str">
        <f t="shared" si="78"/>
        <v>Guidance</v>
      </c>
      <c r="AJ54" t="str">
        <f t="shared" si="79"/>
        <v>2.1.2.GY</v>
      </c>
      <c r="AK54" t="str">
        <f>IF(AND(AG54&lt;&gt;"",LEFT(AG54,1)&lt;&gt;"#"),IF(LEFT(AG54,1)="-",REPLACE(AG54,1,1,tech!$H$2),AG54),"")</f>
        <v/>
      </c>
      <c r="AL54" t="s">
        <v>495</v>
      </c>
      <c r="AM54" s="492" t="s">
        <v>286</v>
      </c>
      <c r="AN54" t="str">
        <f t="shared" si="80"/>
        <v>Certificate cipher suites are documented</v>
      </c>
      <c r="AO54" t="str">
        <f t="shared" si="81"/>
        <v>Guidance</v>
      </c>
      <c r="AP54" t="str">
        <f t="shared" si="82"/>
        <v>2.2.2.GY</v>
      </c>
      <c r="AQ54" t="str">
        <f>IF(AND(AM54&lt;&gt;"",LEFT(AM54,1)&lt;&gt;"#"),IF(LEFT(AM54,1)="-",REPLACE(AM54,1,1,tech!$H$2),AM54),"")</f>
        <v>Cipher suites, for certificates specifically defining key algorithms, key security levels and signature algorithms are important to be crypto agile. For example, the change of the cipher suites can be required when the cryptographic algorithm becomes broken, or deprecated. An organization should have a clear rationale to the usage of specific algorithms, and how long they will be valid and what may replace them in the future.</v>
      </c>
      <c r="AR54" t="s">
        <v>495</v>
      </c>
      <c r="AS54" s="492" t="s">
        <v>900</v>
      </c>
      <c r="AT54" t="str">
        <f t="shared" si="83"/>
        <v>Separation and segmentation principles are applied</v>
      </c>
      <c r="AU54" t="str">
        <f t="shared" si="84"/>
        <v>Guidance</v>
      </c>
      <c r="AV54" t="str">
        <f t="shared" si="85"/>
        <v>2.3.2.GY</v>
      </c>
      <c r="AW54" t="str">
        <f>IF(AND(AS54&lt;&gt;"",LEFT(AS54,1)&lt;&gt;"#"),IF(LEFT(AS54,1)="-",REPLACE(AS54,1,1,tech!$H$2),AS54),"")</f>
        <v>Segmentation isolates the PKI environment from the remaining environment and reduces the risk of unauthorized access and data leakage. It also helps to reduce the impact of a potential compromise of the PKI environment from other systems and environments. Segmentation can be achieved using a number of physical or logical methods, such as:</v>
      </c>
      <c r="AX54" t="s">
        <v>495</v>
      </c>
      <c r="AY54" s="492" t="s">
        <v>968</v>
      </c>
      <c r="AZ54" t="str">
        <f t="shared" si="86"/>
        <v>Request for change structure is documented and followed</v>
      </c>
      <c r="BA54" t="str">
        <f t="shared" si="87"/>
        <v>Guidance</v>
      </c>
      <c r="BB54" t="str">
        <f t="shared" si="88"/>
        <v>2.4.2.GY</v>
      </c>
      <c r="BC54" t="str">
        <f>IF(AND(AY54&lt;&gt;"",LEFT(AY54,1)&lt;&gt;"#"),IF(LEFT(AY54,1)="-",REPLACE(AY54,1,1,tech!$H$2),AY54),"")</f>
        <v>Request for change can contain any change that can affect the PKI implementation, including:</v>
      </c>
      <c r="BD54" t="s">
        <v>495</v>
      </c>
      <c r="BE54" s="492" t="s">
        <v>1054</v>
      </c>
      <c r="BF54" t="str">
        <f t="shared" si="89"/>
        <v>Cyber-security management and incident planning</v>
      </c>
      <c r="BG54" t="str">
        <f t="shared" si="90"/>
        <v>Assessment</v>
      </c>
      <c r="BH54" t="str">
        <f t="shared" si="91"/>
        <v>3.1.2.AY</v>
      </c>
      <c r="BI54" t="str">
        <f>IF(AND(BE54&lt;&gt;"",LEFT(BE54,1)&lt;&gt;"#"),IF(LEFT(BE54,1)="-",REPLACE(BE54,1,1,tech!$H$2),BE54),"")</f>
        <v>• Documented vulnerability management</v>
      </c>
      <c r="BJ54" t="s">
        <v>495</v>
      </c>
      <c r="BK54" s="492" t="s">
        <v>1124</v>
      </c>
      <c r="BL54" t="str">
        <f t="shared" si="92"/>
        <v>Documented integration guidance</v>
      </c>
      <c r="BM54" t="str">
        <f t="shared" si="93"/>
        <v>Guidance</v>
      </c>
      <c r="BN54" t="str">
        <f t="shared" si="94"/>
        <v>3.2.2.GY</v>
      </c>
      <c r="BO54" t="str">
        <f>IF(AND(BK54&lt;&gt;"",LEFT(BK54,1)&lt;&gt;"#"),IF(LEFT(BK54,1)="-",REPLACE(BK54,1,1,tech!$H$2),BK54),"")</f>
        <v>• Integration architecture</v>
      </c>
      <c r="BP54" t="s">
        <v>495</v>
      </c>
      <c r="BQ54" s="492" t="s">
        <v>1150</v>
      </c>
      <c r="BR54" t="str">
        <f t="shared" si="95"/>
        <v>Event logs from systems are collected</v>
      </c>
      <c r="BS54" t="str">
        <f t="shared" si="96"/>
        <v>Guidance</v>
      </c>
      <c r="BT54" t="str">
        <f t="shared" si="97"/>
        <v>3.3.2.GY</v>
      </c>
      <c r="BU54" t="str">
        <f>IF(AND(BQ54&lt;&gt;"",LEFT(BQ54,1)&lt;&gt;"#"),IF(LEFT(BQ54,1)="-",REPLACE(BQ54,1,1,tech!$H$2),BQ54),"")</f>
        <v>Logs and events should be collected from all systems that are relevant for the PKI implementation, such as key life cycle management events.</v>
      </c>
      <c r="BV54" t="s">
        <v>495</v>
      </c>
      <c r="BW54" s="492"/>
      <c r="BX54" t="str">
        <f t="shared" si="98"/>
        <v>Monitoring and auditing of automated process</v>
      </c>
      <c r="BY54" t="str">
        <f t="shared" si="99"/>
        <v>Guidance</v>
      </c>
      <c r="BZ54" t="str">
        <f t="shared" si="100"/>
        <v>3.4.2.GX</v>
      </c>
      <c r="CA54" t="str">
        <f>IF(AND(BW54&lt;&gt;"",LEFT(BW54,1)&lt;&gt;"#"),IF(LEFT(BW54,1)="-",REPLACE(BW54,1,1,tech!$H$2),BW54),"")</f>
        <v/>
      </c>
      <c r="CB54" t="s">
        <v>495</v>
      </c>
      <c r="CC54" s="492" t="s">
        <v>1267</v>
      </c>
      <c r="CD54" t="str">
        <f t="shared" si="101"/>
        <v>Resources are clearly defined</v>
      </c>
      <c r="CE54" t="str">
        <f t="shared" si="102"/>
        <v>Assessment</v>
      </c>
      <c r="CF54" t="str">
        <f t="shared" si="103"/>
        <v>4.1.2.AY</v>
      </c>
      <c r="CG54" t="str">
        <f>IF(AND(CC54&lt;&gt;"",LEFT(CC54,1)&lt;&gt;"#"),IF(LEFT(CC54,1)="-",REPLACE(CC54,1,1,tech!$H$2),CC54),"")</f>
        <v>• Categorization of resources (an example can be: people, processes, procedures, tools, technologies)</v>
      </c>
      <c r="CH54" t="s">
        <v>495</v>
      </c>
      <c r="CI54" s="492" t="s">
        <v>498</v>
      </c>
      <c r="CJ54" t="str">
        <f t="shared" si="104"/>
        <v>Responsible personnel receive training</v>
      </c>
      <c r="CK54" t="str">
        <f t="shared" si="105"/>
        <v>Guidance</v>
      </c>
      <c r="CL54" t="str">
        <f t="shared" si="106"/>
        <v>4.2.2.GX</v>
      </c>
      <c r="CM54" t="str">
        <f>IF(AND(CI54&lt;&gt;"",LEFT(CI54,1)&lt;&gt;"#"),IF(LEFT(CI54,1)="-",REPLACE(CI54,1,1,tech!$H$2),CI54),"")</f>
        <v/>
      </c>
      <c r="CN54" t="s">
        <v>495</v>
      </c>
      <c r="CO54" s="492" t="s">
        <v>1482</v>
      </c>
      <c r="CP54" t="str">
        <f t="shared" si="107"/>
        <v>Disclose PKI information</v>
      </c>
      <c r="CQ54" t="str">
        <f t="shared" si="108"/>
        <v>Guidance</v>
      </c>
      <c r="CR54" t="str">
        <f t="shared" si="109"/>
        <v>4.3.2.GY</v>
      </c>
      <c r="CS54" t="str">
        <f>IF(AND(CO54&lt;&gt;"",LEFT(CO54,1)&lt;&gt;"#"),IF(LEFT(CO54,1)="-",REPLACE(CO54,1,1,tech!$H$2),CO54),"")</f>
        <v>• Vulnerability reports</v>
      </c>
      <c r="CT54" t="s">
        <v>495</v>
      </c>
    </row>
    <row r="55" spans="3:98" x14ac:dyDescent="0.25">
      <c r="C55" s="492" t="s">
        <v>448</v>
      </c>
      <c r="D55" t="str">
        <f t="shared" si="64"/>
        <v>Advanced</v>
      </c>
      <c r="E55" t="str">
        <f t="shared" si="110"/>
        <v>Associated risks</v>
      </c>
      <c r="F55" t="str">
        <f>_xlfn.CONCAT(VLOOKUP(D55,tech!$A$13:$B$17,2,0),LEFT(E55,1),IF(G55="","X","Y"))</f>
        <v>3AX</v>
      </c>
      <c r="G55" t="str">
        <f>IF(IF(LEFT(C55,1)="-",C55,"")="","",REPLACE(IF(LEFT(C55,1)="-",C55,""),1,1,tech!$H$2))</f>
        <v/>
      </c>
      <c r="H55" t="s">
        <v>495</v>
      </c>
      <c r="I55" s="492" t="s">
        <v>498</v>
      </c>
      <c r="J55" t="str">
        <f t="shared" si="65"/>
        <v>Scope and business drivers for PKI</v>
      </c>
      <c r="K55" t="str">
        <f t="shared" si="66"/>
        <v>Guidance</v>
      </c>
      <c r="L55" t="str">
        <f t="shared" si="67"/>
        <v>1.1.3.GX</v>
      </c>
      <c r="M55" t="str">
        <f>IF(AND(I55&lt;&gt;"",LEFT(I55,1)&lt;&gt;"#"),IF(LEFT(I55,1)="-",REPLACE(I55,1,1,tech!$H$2),I55),"")</f>
        <v/>
      </c>
      <c r="N55" t="s">
        <v>495</v>
      </c>
      <c r="O55" s="494" t="s">
        <v>605</v>
      </c>
      <c r="P55" t="str">
        <f t="shared" si="68"/>
        <v>Certificate policy is documented and published</v>
      </c>
      <c r="Q55" t="str">
        <f t="shared" si="69"/>
        <v>Guidance</v>
      </c>
      <c r="R55" t="str">
        <f t="shared" si="70"/>
        <v>1.2.2.GY</v>
      </c>
      <c r="S55" t="str">
        <f>IF(AND(O55&lt;&gt;"",LEFT(O55,1)&lt;&gt;"#"),IF(LEFT(O55,1)="-",REPLACE(O55,1,1,tech!$H$2),O55),"")</f>
        <v>• policy administration</v>
      </c>
      <c r="T55" t="s">
        <v>495</v>
      </c>
      <c r="U55" s="494"/>
      <c r="V55" t="str">
        <f t="shared" si="71"/>
        <v>A program to monitor compliance with the policies is established</v>
      </c>
      <c r="W55" t="str">
        <f t="shared" si="72"/>
        <v>Guidance</v>
      </c>
      <c r="X55" t="str">
        <f t="shared" si="73"/>
        <v>1.3.2.GX</v>
      </c>
      <c r="Y55" t="str">
        <f>IF(AND(U55&lt;&gt;"",LEFT(U55,1)&lt;&gt;"#"),IF(LEFT(U55,1)="-",REPLACE(U55,1,1,tech!$H$2),U55),"")</f>
        <v/>
      </c>
      <c r="Z55" t="s">
        <v>495</v>
      </c>
      <c r="AA55" s="492"/>
      <c r="AB55" t="str">
        <f t="shared" si="74"/>
        <v>Processes and procedures are formally documented and followed</v>
      </c>
      <c r="AC55" t="str">
        <f t="shared" si="75"/>
        <v>Assessment</v>
      </c>
      <c r="AD55" t="str">
        <f t="shared" si="76"/>
        <v>1.4.2.AX</v>
      </c>
      <c r="AE55" t="str">
        <f>IF(AND(AA55&lt;&gt;"",LEFT(AA55,1)&lt;&gt;"#"),IF(LEFT(AA55,1)="-",REPLACE(AA55,1,1,tech!$H$2),AA55),"")</f>
        <v/>
      </c>
      <c r="AF55" t="s">
        <v>495</v>
      </c>
      <c r="AG55" s="492" t="s">
        <v>713</v>
      </c>
      <c r="AH55" t="str">
        <f t="shared" si="77"/>
        <v>Inventory of cryptographic keys is documented and maintained</v>
      </c>
      <c r="AI55" t="str">
        <f t="shared" si="78"/>
        <v>Guidance</v>
      </c>
      <c r="AJ55" t="str">
        <f t="shared" si="79"/>
        <v>2.1.2.GY</v>
      </c>
      <c r="AK55" t="str">
        <f>IF(AND(AG55&lt;&gt;"",LEFT(AG55,1)&lt;&gt;"#"),IF(LEFT(AG55,1)="-",REPLACE(AG55,1,1,tech!$H$2),AG55),"")</f>
        <v>Inventory should follow procedures and business as usual activities to keep it accurate and updated in time.</v>
      </c>
      <c r="AL55" t="s">
        <v>495</v>
      </c>
      <c r="AM55" s="492"/>
      <c r="AN55" t="str">
        <f t="shared" si="80"/>
        <v>Certificate cipher suites are documented</v>
      </c>
      <c r="AO55" t="str">
        <f t="shared" si="81"/>
        <v>Guidance</v>
      </c>
      <c r="AP55" t="str">
        <f t="shared" si="82"/>
        <v>2.2.2.GX</v>
      </c>
      <c r="AQ55" t="str">
        <f>IF(AND(AM55&lt;&gt;"",LEFT(AM55,1)&lt;&gt;"#"),IF(LEFT(AM55,1)="-",REPLACE(AM55,1,1,tech!$H$2),AM55),"")</f>
        <v/>
      </c>
      <c r="AR55" t="s">
        <v>495</v>
      </c>
      <c r="AS55" s="492" t="s">
        <v>926</v>
      </c>
      <c r="AT55" t="str">
        <f t="shared" si="83"/>
        <v>Separation and segmentation principles are applied</v>
      </c>
      <c r="AU55" t="str">
        <f t="shared" si="84"/>
        <v>Guidance</v>
      </c>
      <c r="AV55" t="str">
        <f t="shared" si="85"/>
        <v>2.3.2.GY</v>
      </c>
      <c r="AW55" t="str">
        <f>IF(AND(AS55&lt;&gt;"",LEFT(AS55,1)&lt;&gt;"#"),IF(LEFT(AS55,1)="-",REPLACE(AS55,1,1,tech!$H$2),AS55),"")</f>
        <v>• Properly configured internal network Security controls</v>
      </c>
      <c r="AX55" t="s">
        <v>495</v>
      </c>
      <c r="AY55" s="492" t="s">
        <v>969</v>
      </c>
      <c r="AZ55" t="str">
        <f t="shared" si="86"/>
        <v>Request for change structure is documented and followed</v>
      </c>
      <c r="BA55" t="str">
        <f t="shared" si="87"/>
        <v>Guidance</v>
      </c>
      <c r="BB55" t="str">
        <f t="shared" si="88"/>
        <v>2.4.2.GY</v>
      </c>
      <c r="BC55" t="str">
        <f>IF(AND(AY55&lt;&gt;"",LEFT(AY55,1)&lt;&gt;"#"),IF(LEFT(AY55,1)="-",REPLACE(AY55,1,1,tech!$H$2),AY55),"")</f>
        <v>• PKI upgrades, updates, and patches</v>
      </c>
      <c r="BD55" t="s">
        <v>495</v>
      </c>
      <c r="BE55" s="492" t="s">
        <v>1055</v>
      </c>
      <c r="BF55" t="str">
        <f t="shared" si="89"/>
        <v>Cyber-security management and incident planning</v>
      </c>
      <c r="BG55" t="str">
        <f t="shared" si="90"/>
        <v>Assessment</v>
      </c>
      <c r="BH55" t="str">
        <f t="shared" si="91"/>
        <v>3.1.2.AY</v>
      </c>
      <c r="BI55" t="str">
        <f>IF(AND(BE55&lt;&gt;"",LEFT(BE55,1)&lt;&gt;"#"),IF(LEFT(BE55,1)="-",REPLACE(BE55,1,1,tech!$H$2),BE55),"")</f>
        <v>• vulnerability scanning Results</v>
      </c>
      <c r="BJ55" t="s">
        <v>495</v>
      </c>
      <c r="BK55" s="492" t="s">
        <v>1125</v>
      </c>
      <c r="BL55" t="str">
        <f t="shared" si="92"/>
        <v>Documented integration guidance</v>
      </c>
      <c r="BM55" t="str">
        <f t="shared" si="93"/>
        <v>Guidance</v>
      </c>
      <c r="BN55" t="str">
        <f t="shared" si="94"/>
        <v>3.2.2.GY</v>
      </c>
      <c r="BO55" t="str">
        <f>IF(AND(BK55&lt;&gt;"",LEFT(BK55,1)&lt;&gt;"#"),IF(LEFT(BK55,1)="-",REPLACE(BK55,1,1,tech!$H$2),BK55),"")</f>
        <v>• Integration testing</v>
      </c>
      <c r="BP55" t="s">
        <v>495</v>
      </c>
      <c r="BQ55" s="492"/>
      <c r="BR55" t="str">
        <f t="shared" si="95"/>
        <v>Event logs from systems are collected</v>
      </c>
      <c r="BS55" t="str">
        <f t="shared" si="96"/>
        <v>Guidance</v>
      </c>
      <c r="BT55" t="str">
        <f t="shared" si="97"/>
        <v>3.3.2.GY</v>
      </c>
      <c r="BU55" t="str">
        <f>IF(AND(BQ55&lt;&gt;"",LEFT(BQ55,1)&lt;&gt;"#"),IF(LEFT(BQ55,1)="-",REPLACE(BQ55,1,1,tech!$H$2),BQ55),"")</f>
        <v/>
      </c>
      <c r="BV55" t="s">
        <v>495</v>
      </c>
      <c r="BW55" s="492" t="s">
        <v>501</v>
      </c>
      <c r="BX55" t="str">
        <f t="shared" si="98"/>
        <v>Monitoring and auditing of automated process</v>
      </c>
      <c r="BY55" t="str">
        <f t="shared" si="99"/>
        <v>Assessment</v>
      </c>
      <c r="BZ55" t="str">
        <f t="shared" si="100"/>
        <v>3.4.2.AX</v>
      </c>
      <c r="CA55" t="str">
        <f>IF(AND(BW55&lt;&gt;"",LEFT(BW55,1)&lt;&gt;"#"),IF(LEFT(BW55,1)="-",REPLACE(BW55,1,1,tech!$H$2),BW55),"")</f>
        <v/>
      </c>
      <c r="CB55" t="s">
        <v>495</v>
      </c>
      <c r="CC55" s="492" t="s">
        <v>1465</v>
      </c>
      <c r="CD55" t="str">
        <f t="shared" si="101"/>
        <v>Resources are clearly defined</v>
      </c>
      <c r="CE55" t="str">
        <f t="shared" si="102"/>
        <v>Assessment</v>
      </c>
      <c r="CF55" t="str">
        <f t="shared" si="103"/>
        <v>4.1.2.AY</v>
      </c>
      <c r="CG55" t="str">
        <f>IF(AND(CC55&lt;&gt;"",LEFT(CC55,1)&lt;&gt;"#"),IF(LEFT(CC55,1)="-",REPLACE(CC55,1,1,tech!$H$2),CC55),"")</f>
        <v>• Alignment with the scope of the use-case</v>
      </c>
      <c r="CH55" t="s">
        <v>495</v>
      </c>
      <c r="CI55" s="492"/>
      <c r="CJ55" t="str">
        <f t="shared" si="104"/>
        <v>Responsible personnel receive training</v>
      </c>
      <c r="CK55" t="str">
        <f t="shared" si="105"/>
        <v>Guidance</v>
      </c>
      <c r="CL55" t="str">
        <f t="shared" si="106"/>
        <v>4.2.2.GX</v>
      </c>
      <c r="CM55" t="str">
        <f>IF(AND(CI55&lt;&gt;"",LEFT(CI55,1)&lt;&gt;"#"),IF(LEFT(CI55,1)="-",REPLACE(CI55,1,1,tech!$H$2),CI55),"")</f>
        <v/>
      </c>
      <c r="CN55" t="s">
        <v>495</v>
      </c>
      <c r="CO55" s="492" t="s">
        <v>1385</v>
      </c>
      <c r="CP55" t="str">
        <f t="shared" si="107"/>
        <v>Disclose PKI information</v>
      </c>
      <c r="CQ55" t="str">
        <f t="shared" si="108"/>
        <v>Guidance</v>
      </c>
      <c r="CR55" t="str">
        <f t="shared" si="109"/>
        <v>4.3.2.GY</v>
      </c>
      <c r="CS55" t="str">
        <f>IF(AND(CO55&lt;&gt;"",LEFT(CO55,1)&lt;&gt;"#"),IF(LEFT(CO55,1)="-",REPLACE(CO55,1,1,tech!$H$2),CO55),"")</f>
        <v>• Audit reports</v>
      </c>
      <c r="CT55" t="s">
        <v>495</v>
      </c>
    </row>
    <row r="56" spans="3:98" x14ac:dyDescent="0.25">
      <c r="C56" s="492"/>
      <c r="D56" t="str">
        <f t="shared" si="64"/>
        <v>Advanced</v>
      </c>
      <c r="E56" t="str">
        <f t="shared" si="110"/>
        <v>Associated risks</v>
      </c>
      <c r="F56" t="str">
        <f>_xlfn.CONCAT(VLOOKUP(D56,tech!$A$13:$B$17,2,0),LEFT(E56,1),IF(G56="","X","Y"))</f>
        <v>3AX</v>
      </c>
      <c r="G56" t="str">
        <f>IF(IF(LEFT(C56,1)="-",C56,"")="","",REPLACE(IF(LEFT(C56,1)="-",C56,""),1,1,tech!$H$2))</f>
        <v/>
      </c>
      <c r="H56" t="s">
        <v>495</v>
      </c>
      <c r="I56" s="492"/>
      <c r="J56" t="str">
        <f t="shared" si="65"/>
        <v>Scope and business drivers for PKI</v>
      </c>
      <c r="K56" t="str">
        <f t="shared" si="66"/>
        <v>Guidance</v>
      </c>
      <c r="L56" t="str">
        <f t="shared" si="67"/>
        <v>1.1.3.GX</v>
      </c>
      <c r="M56" t="str">
        <f>IF(AND(I56&lt;&gt;"",LEFT(I56,1)&lt;&gt;"#"),IF(LEFT(I56,1)="-",REPLACE(I56,1,1,tech!$H$2),I56),"")</f>
        <v/>
      </c>
      <c r="N56" t="s">
        <v>495</v>
      </c>
      <c r="O56" s="494" t="s">
        <v>606</v>
      </c>
      <c r="P56" t="str">
        <f t="shared" si="68"/>
        <v>Certificate policy is documented and published</v>
      </c>
      <c r="Q56" t="str">
        <f t="shared" si="69"/>
        <v>Guidance</v>
      </c>
      <c r="R56" t="str">
        <f t="shared" si="70"/>
        <v>1.2.2.GY</v>
      </c>
      <c r="S56" t="str">
        <f>IF(AND(O56&lt;&gt;"",LEFT(O56,1)&lt;&gt;"#"),IF(LEFT(O56,1)="-",REPLACE(O56,1,1,tech!$H$2),O56),"")</f>
        <v>• Definitions</v>
      </c>
      <c r="T56" t="s">
        <v>495</v>
      </c>
      <c r="U56" s="494" t="s">
        <v>501</v>
      </c>
      <c r="V56" t="str">
        <f t="shared" si="71"/>
        <v>A program to monitor compliance with the policies is established</v>
      </c>
      <c r="W56" t="str">
        <f t="shared" si="72"/>
        <v>Assessment</v>
      </c>
      <c r="X56" t="str">
        <f t="shared" si="73"/>
        <v>1.3.2.AX</v>
      </c>
      <c r="Y56" t="str">
        <f>IF(AND(U56&lt;&gt;"",LEFT(U56,1)&lt;&gt;"#"),IF(LEFT(U56,1)="-",REPLACE(U56,1,1,tech!$H$2),U56),"")</f>
        <v/>
      </c>
      <c r="Z56" t="s">
        <v>495</v>
      </c>
      <c r="AA56" s="492" t="s">
        <v>503</v>
      </c>
      <c r="AB56" t="str">
        <f t="shared" si="74"/>
        <v>Processes and procedures are formally documented and followed</v>
      </c>
      <c r="AC56" t="str">
        <f t="shared" si="75"/>
        <v>References</v>
      </c>
      <c r="AD56" t="str">
        <f t="shared" si="76"/>
        <v>1.4.2.RX</v>
      </c>
      <c r="AE56" t="str">
        <f>IF(AND(AA56&lt;&gt;"",LEFT(AA56,1)&lt;&gt;"#"),IF(LEFT(AA56,1)="-",REPLACE(AA56,1,1,tech!$H$2),AA56),"")</f>
        <v/>
      </c>
      <c r="AF56" t="s">
        <v>495</v>
      </c>
      <c r="AG56" s="492"/>
      <c r="AH56" t="str">
        <f t="shared" si="77"/>
        <v>Inventory of cryptographic keys is documented and maintained</v>
      </c>
      <c r="AI56" t="str">
        <f t="shared" si="78"/>
        <v>Guidance</v>
      </c>
      <c r="AJ56" t="str">
        <f t="shared" si="79"/>
        <v>2.1.2.GX</v>
      </c>
      <c r="AK56" t="str">
        <f>IF(AND(AG56&lt;&gt;"",LEFT(AG56,1)&lt;&gt;"#"),IF(LEFT(AG56,1)="-",REPLACE(AG56,1,1,tech!$H$2),AG56),"")</f>
        <v/>
      </c>
      <c r="AL56" t="s">
        <v>495</v>
      </c>
      <c r="AM56" s="492" t="s">
        <v>501</v>
      </c>
      <c r="AN56" t="str">
        <f t="shared" si="80"/>
        <v>Certificate cipher suites are documented</v>
      </c>
      <c r="AO56" t="str">
        <f t="shared" si="81"/>
        <v>Assessment</v>
      </c>
      <c r="AP56" t="str">
        <f t="shared" si="82"/>
        <v>2.2.2.AX</v>
      </c>
      <c r="AQ56" t="str">
        <f>IF(AND(AM56&lt;&gt;"",LEFT(AM56,1)&lt;&gt;"#"),IF(LEFT(AM56,1)="-",REPLACE(AM56,1,1,tech!$H$2),AM56),"")</f>
        <v/>
      </c>
      <c r="AR56" t="s">
        <v>495</v>
      </c>
      <c r="AS56" s="492" t="s">
        <v>927</v>
      </c>
      <c r="AT56" t="str">
        <f t="shared" si="83"/>
        <v>Separation and segmentation principles are applied</v>
      </c>
      <c r="AU56" t="str">
        <f t="shared" si="84"/>
        <v>Guidance</v>
      </c>
      <c r="AV56" t="str">
        <f t="shared" si="85"/>
        <v>2.3.2.GY</v>
      </c>
      <c r="AW56" t="str">
        <f>IF(AND(AS56&lt;&gt;"",LEFT(AS56,1)&lt;&gt;"#"),IF(LEFT(AS56,1)="-",REPLACE(AS56,1,1,tech!$H$2),AS56),"")</f>
        <v>• Routers with strong access control lists</v>
      </c>
      <c r="AX56" t="s">
        <v>495</v>
      </c>
      <c r="AY56" s="492" t="s">
        <v>990</v>
      </c>
      <c r="AZ56" t="str">
        <f t="shared" si="86"/>
        <v>Request for change structure is documented and followed</v>
      </c>
      <c r="BA56" t="str">
        <f t="shared" si="87"/>
        <v>Guidance</v>
      </c>
      <c r="BB56" t="str">
        <f t="shared" si="88"/>
        <v>2.4.2.GY</v>
      </c>
      <c r="BC56" t="str">
        <f>IF(AND(AY56&lt;&gt;"",LEFT(AY56,1)&lt;&gt;"#"),IF(LEFT(AY56,1)="-",REPLACE(AY56,1,1,tech!$H$2),AY56),"")</f>
        <v>• New components or functionalities</v>
      </c>
      <c r="BD56" t="s">
        <v>495</v>
      </c>
      <c r="BE56" s="492" t="s">
        <v>1056</v>
      </c>
      <c r="BF56" t="str">
        <f t="shared" si="89"/>
        <v>Cyber-security management and incident planning</v>
      </c>
      <c r="BG56" t="str">
        <f t="shared" si="90"/>
        <v>Assessment</v>
      </c>
      <c r="BH56" t="str">
        <f t="shared" si="91"/>
        <v>3.1.2.AY</v>
      </c>
      <c r="BI56" t="str">
        <f>IF(AND(BE56&lt;&gt;"",LEFT(BE56,1)&lt;&gt;"#"),IF(LEFT(BE56,1)="-",REPLACE(BE56,1,1,tech!$H$2),BE56),"")</f>
        <v>• Documented incident response plans</v>
      </c>
      <c r="BJ56" t="s">
        <v>495</v>
      </c>
      <c r="BK56" s="492"/>
      <c r="BL56" t="str">
        <f t="shared" si="92"/>
        <v>Documented integration guidance</v>
      </c>
      <c r="BM56" t="str">
        <f t="shared" si="93"/>
        <v>Guidance</v>
      </c>
      <c r="BN56" t="str">
        <f t="shared" si="94"/>
        <v>3.2.2.GX</v>
      </c>
      <c r="BO56" t="str">
        <f>IF(AND(BK56&lt;&gt;"",LEFT(BK56,1)&lt;&gt;"#"),IF(LEFT(BK56,1)="-",REPLACE(BK56,1,1,tech!$H$2),BK56),"")</f>
        <v/>
      </c>
      <c r="BP56" t="s">
        <v>495</v>
      </c>
      <c r="BQ56" s="492" t="s">
        <v>1151</v>
      </c>
      <c r="BR56" t="str">
        <f t="shared" si="95"/>
        <v>Event logs from systems are collected</v>
      </c>
      <c r="BS56" t="str">
        <f t="shared" si="96"/>
        <v>Guidance</v>
      </c>
      <c r="BT56" t="str">
        <f t="shared" si="97"/>
        <v>3.3.2.GY</v>
      </c>
      <c r="BU56" t="str">
        <f>IF(AND(BQ56&lt;&gt;"",LEFT(BQ56,1)&lt;&gt;"#"),IF(LEFT(BQ56,1)="-",REPLACE(BQ56,1,1,tech!$H$2),BQ56),"")</f>
        <v>The event should contain sufficient information to identify the event, including:</v>
      </c>
      <c r="BV56" t="s">
        <v>495</v>
      </c>
      <c r="BW56" s="492"/>
      <c r="BX56" t="str">
        <f t="shared" si="98"/>
        <v>Monitoring and auditing of automated process</v>
      </c>
      <c r="BY56" t="str">
        <f t="shared" si="99"/>
        <v>Assessment</v>
      </c>
      <c r="BZ56" t="str">
        <f t="shared" si="100"/>
        <v>3.4.2.AX</v>
      </c>
      <c r="CA56" t="str">
        <f>IF(AND(BW56&lt;&gt;"",LEFT(BW56,1)&lt;&gt;"#"),IF(LEFT(BW56,1)="-",REPLACE(BW56,1,1,tech!$H$2),BW56),"")</f>
        <v/>
      </c>
      <c r="CB56" t="s">
        <v>495</v>
      </c>
      <c r="CC56" s="492" t="s">
        <v>1275</v>
      </c>
      <c r="CD56" t="str">
        <f t="shared" si="101"/>
        <v>Resources are clearly defined</v>
      </c>
      <c r="CE56" t="str">
        <f t="shared" si="102"/>
        <v>Assessment</v>
      </c>
      <c r="CF56" t="str">
        <f t="shared" si="103"/>
        <v>4.1.2.AY</v>
      </c>
      <c r="CG56" t="str">
        <f>IF(AND(CC56&lt;&gt;"",LEFT(CC56,1)&lt;&gt;"#"),IF(LEFT(CC56,1)="-",REPLACE(CC56,1,1,tech!$H$2),CC56),"")</f>
        <v>• Interview personnel in various roles</v>
      </c>
      <c r="CH56" t="s">
        <v>495</v>
      </c>
      <c r="CI56" s="492" t="s">
        <v>1298</v>
      </c>
      <c r="CJ56" t="str">
        <f t="shared" si="104"/>
        <v>Responsible personnel receive training</v>
      </c>
      <c r="CK56" t="str">
        <f t="shared" si="105"/>
        <v>Guidance</v>
      </c>
      <c r="CL56" t="str">
        <f t="shared" si="106"/>
        <v>4.2.2.GY</v>
      </c>
      <c r="CM56" t="str">
        <f>IF(AND(CI56&lt;&gt;"",LEFT(CI56,1)&lt;&gt;"#"),IF(LEFT(CI56,1)="-",REPLACE(CI56,1,1,tech!$H$2),CI56),"")</f>
        <v>The responsible personnel should be aware of the current policies and procedures that are related to the context of the PKI implementation. Training should be provided to personnel that are responsible for the management, operation, and administration of the PKI.</v>
      </c>
      <c r="CN56" t="s">
        <v>495</v>
      </c>
      <c r="CO56" s="492" t="s">
        <v>1475</v>
      </c>
      <c r="CP56" t="str">
        <f t="shared" si="107"/>
        <v>Disclose PKI information</v>
      </c>
      <c r="CQ56" t="str">
        <f t="shared" si="108"/>
        <v>Guidance</v>
      </c>
      <c r="CR56" t="str">
        <f t="shared" si="109"/>
        <v>4.3.2.GY</v>
      </c>
      <c r="CS56" t="str">
        <f>IF(AND(CO56&lt;&gt;"",LEFT(CO56,1)&lt;&gt;"#"),IF(LEFT(CO56,1)="-",REPLACE(CO56,1,1,tech!$H$2),CO56),"")</f>
        <v>• Contact information</v>
      </c>
      <c r="CT56" t="s">
        <v>495</v>
      </c>
    </row>
    <row r="57" spans="3:98" x14ac:dyDescent="0.25">
      <c r="C57" s="492" t="s">
        <v>468</v>
      </c>
      <c r="D57" t="str">
        <f t="shared" si="64"/>
        <v>Advanced</v>
      </c>
      <c r="E57" t="str">
        <f t="shared" si="110"/>
        <v>Associated risks</v>
      </c>
      <c r="F57" t="str">
        <f>_xlfn.CONCAT(VLOOKUP(D57,tech!$A$13:$B$17,2,0),LEFT(E57,1),IF(G57="","X","Y"))</f>
        <v>3AY</v>
      </c>
      <c r="G57" t="str">
        <f>IF(IF(LEFT(C57,1)="-",C57,"")="","",REPLACE(IF(LEFT(C57,1)="-",C57,""),1,1,tech!$H$2))</f>
        <v>• Medium probability of operational issues</v>
      </c>
      <c r="H57" t="s">
        <v>495</v>
      </c>
      <c r="I57" s="492" t="s">
        <v>509</v>
      </c>
      <c r="J57" t="str">
        <f t="shared" si="65"/>
        <v>Scope and business drivers for PKI</v>
      </c>
      <c r="K57" t="str">
        <f t="shared" si="66"/>
        <v>Guidance</v>
      </c>
      <c r="L57" t="str">
        <f t="shared" si="67"/>
        <v>1.1.3.GY</v>
      </c>
      <c r="M57" t="str">
        <f>IF(AND(I57&lt;&gt;"",LEFT(I57,1)&lt;&gt;"#"),IF(LEFT(I57,1)="-",REPLACE(I57,1,1,tech!$H$2),I57),"")</f>
        <v>The scope of the PKI should be clearly defined and documented. The scope should be defined in terms of the use-cases that the PKI is going to support. Each use-case can have a different requirements and therefore different strategy. The use-cases should be defined in terms of the business drivers that are going to be supported by the PKI. Business drivers helps to document alignment with the overall organizational goals.</v>
      </c>
      <c r="N57" t="s">
        <v>495</v>
      </c>
      <c r="O57" s="494" t="s">
        <v>607</v>
      </c>
      <c r="P57" t="str">
        <f t="shared" si="68"/>
        <v>Certificate policy is documented and published</v>
      </c>
      <c r="Q57" t="str">
        <f t="shared" si="69"/>
        <v>Guidance</v>
      </c>
      <c r="R57" t="str">
        <f t="shared" si="70"/>
        <v>1.2.2.GY</v>
      </c>
      <c r="S57" t="str">
        <f>IF(AND(O57&lt;&gt;"",LEFT(O57,1)&lt;&gt;"#"),IF(LEFT(O57,1)="-",REPLACE(O57,1,1,tech!$H$2),O57),"")</f>
        <v>• Publication and repository responsibilities</v>
      </c>
      <c r="T57" t="s">
        <v>495</v>
      </c>
      <c r="U57" s="494"/>
      <c r="V57" t="str">
        <f t="shared" si="71"/>
        <v>A program to monitor compliance with the policies is established</v>
      </c>
      <c r="W57" t="str">
        <f t="shared" si="72"/>
        <v>Assessment</v>
      </c>
      <c r="X57" t="str">
        <f t="shared" si="73"/>
        <v>1.3.2.AX</v>
      </c>
      <c r="Y57" t="str">
        <f>IF(AND(U57&lt;&gt;"",LEFT(U57,1)&lt;&gt;"#"),IF(LEFT(U57,1)="-",REPLACE(U57,1,1,tech!$H$2),U57),"")</f>
        <v/>
      </c>
      <c r="Z57" t="s">
        <v>495</v>
      </c>
      <c r="AA57" s="492"/>
      <c r="AB57" t="str">
        <f t="shared" si="74"/>
        <v>Processes and procedures are formally documented and followed</v>
      </c>
      <c r="AC57" t="str">
        <f t="shared" si="75"/>
        <v>References</v>
      </c>
      <c r="AD57" t="str">
        <f t="shared" si="76"/>
        <v>1.4.2.RX</v>
      </c>
      <c r="AE57" t="str">
        <f>IF(AND(AA57&lt;&gt;"",LEFT(AA57,1)&lt;&gt;"#"),IF(LEFT(AA57,1)="-",REPLACE(AA57,1,1,tech!$H$2),AA57),"")</f>
        <v/>
      </c>
      <c r="AF57" t="s">
        <v>495</v>
      </c>
      <c r="AG57" s="492" t="s">
        <v>501</v>
      </c>
      <c r="AH57" t="str">
        <f t="shared" si="77"/>
        <v>Inventory of cryptographic keys is documented and maintained</v>
      </c>
      <c r="AI57" t="str">
        <f t="shared" si="78"/>
        <v>Assessment</v>
      </c>
      <c r="AJ57" t="str">
        <f t="shared" si="79"/>
        <v>2.1.2.AX</v>
      </c>
      <c r="AK57" t="str">
        <f>IF(AND(AG57&lt;&gt;"",LEFT(AG57,1)&lt;&gt;"#"),IF(LEFT(AG57,1)="-",REPLACE(AG57,1,1,tech!$H$2),AG57),"")</f>
        <v/>
      </c>
      <c r="AL57" t="s">
        <v>495</v>
      </c>
      <c r="AM57" s="492"/>
      <c r="AN57" t="str">
        <f t="shared" si="80"/>
        <v>Certificate cipher suites are documented</v>
      </c>
      <c r="AO57" t="str">
        <f t="shared" si="81"/>
        <v>Assessment</v>
      </c>
      <c r="AP57" t="str">
        <f t="shared" si="82"/>
        <v>2.2.2.AX</v>
      </c>
      <c r="AQ57" t="str">
        <f>IF(AND(AM57&lt;&gt;"",LEFT(AM57,1)&lt;&gt;"#"),IF(LEFT(AM57,1)="-",REPLACE(AM57,1,1,tech!$H$2),AM57),"")</f>
        <v/>
      </c>
      <c r="AR57" t="s">
        <v>495</v>
      </c>
      <c r="AS57" s="492" t="s">
        <v>928</v>
      </c>
      <c r="AT57" t="str">
        <f t="shared" si="83"/>
        <v>Separation and segmentation principles are applied</v>
      </c>
      <c r="AU57" t="str">
        <f t="shared" si="84"/>
        <v>Guidance</v>
      </c>
      <c r="AV57" t="str">
        <f t="shared" si="85"/>
        <v>2.3.2.GY</v>
      </c>
      <c r="AW57" t="str">
        <f>IF(AND(AS57&lt;&gt;"",LEFT(AS57,1)&lt;&gt;"#"),IF(LEFT(AS57,1)="-",REPLACE(AS57,1,1,tech!$H$2),AS57),"")</f>
        <v>• other technologies that restrict access to a particular segment of a network</v>
      </c>
      <c r="AX57" t="s">
        <v>495</v>
      </c>
      <c r="AY57" s="492" t="s">
        <v>991</v>
      </c>
      <c r="AZ57" t="str">
        <f t="shared" si="86"/>
        <v>Request for change structure is documented and followed</v>
      </c>
      <c r="BA57" t="str">
        <f t="shared" si="87"/>
        <v>Guidance</v>
      </c>
      <c r="BB57" t="str">
        <f t="shared" si="88"/>
        <v>2.4.2.GY</v>
      </c>
      <c r="BC57" t="str">
        <f>IF(AND(AY57&lt;&gt;"",LEFT(AY57,1)&lt;&gt;"#"),IF(LEFT(AY57,1)="-",REPLACE(AY57,1,1,tech!$H$2),AY57),"")</f>
        <v>• changes in the configuration of the PKI</v>
      </c>
      <c r="BD57" t="s">
        <v>495</v>
      </c>
      <c r="BE57" s="492" t="s">
        <v>1057</v>
      </c>
      <c r="BF57" t="str">
        <f t="shared" si="89"/>
        <v>Cyber-security management and incident planning</v>
      </c>
      <c r="BG57" t="str">
        <f t="shared" si="90"/>
        <v>Assessment</v>
      </c>
      <c r="BH57" t="str">
        <f t="shared" si="91"/>
        <v>3.1.2.AY</v>
      </c>
      <c r="BI57" t="str">
        <f>IF(AND(BE57&lt;&gt;"",LEFT(BE57,1)&lt;&gt;"#"),IF(LEFT(BE57,1)="-",REPLACE(BE57,1,1,tech!$H$2),BE57),"")</f>
        <v>• Documented incident response test Results</v>
      </c>
      <c r="BJ57" t="s">
        <v>495</v>
      </c>
      <c r="BK57" s="492" t="s">
        <v>501</v>
      </c>
      <c r="BL57" t="str">
        <f t="shared" si="92"/>
        <v>Documented integration guidance</v>
      </c>
      <c r="BM57" t="str">
        <f t="shared" si="93"/>
        <v>Assessment</v>
      </c>
      <c r="BN57" t="str">
        <f t="shared" si="94"/>
        <v>3.2.2.AX</v>
      </c>
      <c r="BO57" t="str">
        <f>IF(AND(BK57&lt;&gt;"",LEFT(BK57,1)&lt;&gt;"#"),IF(LEFT(BK57,1)="-",REPLACE(BK57,1,1,tech!$H$2),BK57),"")</f>
        <v/>
      </c>
      <c r="BP57" t="s">
        <v>495</v>
      </c>
      <c r="BQ57" s="492" t="s">
        <v>1181</v>
      </c>
      <c r="BR57" t="str">
        <f t="shared" si="95"/>
        <v>Event logs from systems are collected</v>
      </c>
      <c r="BS57" t="str">
        <f t="shared" si="96"/>
        <v>Guidance</v>
      </c>
      <c r="BT57" t="str">
        <f t="shared" si="97"/>
        <v>3.3.2.GY</v>
      </c>
      <c r="BU57" t="str">
        <f>IF(AND(BQ57&lt;&gt;"",LEFT(BQ57,1)&lt;&gt;"#"),IF(LEFT(BQ57,1)="-",REPLACE(BQ57,1,1,tech!$H$2),BQ57),"")</f>
        <v>• User Identification</v>
      </c>
      <c r="BV57" t="s">
        <v>495</v>
      </c>
      <c r="BW57" s="492" t="s">
        <v>1221</v>
      </c>
      <c r="BX57" t="str">
        <f t="shared" si="98"/>
        <v>Monitoring and auditing of automated process</v>
      </c>
      <c r="BY57" t="str">
        <f t="shared" si="99"/>
        <v>Assessment</v>
      </c>
      <c r="BZ57" t="str">
        <f t="shared" si="100"/>
        <v>3.4.2.AY</v>
      </c>
      <c r="CA57" t="str">
        <f>IF(AND(BW57&lt;&gt;"",LEFT(BW57,1)&lt;&gt;"#"),IF(LEFT(BW57,1)="-",REPLACE(BW57,1,1,tech!$H$2),BW57),"")</f>
        <v>Monitoring of automated processes should be supported by monitoring tools and technologies that can provide the necessary overview, reporting, and potential alerting in case of issues.</v>
      </c>
      <c r="CB57" t="s">
        <v>495</v>
      </c>
      <c r="CC57" s="492"/>
      <c r="CD57" t="str">
        <f t="shared" si="101"/>
        <v>Resources are clearly defined</v>
      </c>
      <c r="CE57" t="str">
        <f t="shared" si="102"/>
        <v>Assessment</v>
      </c>
      <c r="CF57" t="str">
        <f t="shared" si="103"/>
        <v>4.1.2.AX</v>
      </c>
      <c r="CG57" t="str">
        <f>IF(AND(CC57&lt;&gt;"",LEFT(CC57,1)&lt;&gt;"#"),IF(LEFT(CC57,1)="-",REPLACE(CC57,1,1,tech!$H$2),CC57),"")</f>
        <v/>
      </c>
      <c r="CH57" t="s">
        <v>495</v>
      </c>
      <c r="CI57" s="492"/>
      <c r="CJ57" t="str">
        <f t="shared" si="104"/>
        <v>Responsible personnel receive training</v>
      </c>
      <c r="CK57" t="str">
        <f t="shared" si="105"/>
        <v>Guidance</v>
      </c>
      <c r="CL57" t="str">
        <f t="shared" si="106"/>
        <v>4.2.2.GY</v>
      </c>
      <c r="CM57" t="str">
        <f>IF(AND(CI57&lt;&gt;"",LEFT(CI57,1)&lt;&gt;"#"),IF(LEFT(CI57,1)="-",REPLACE(CI57,1,1,tech!$H$2),CI57),"")</f>
        <v/>
      </c>
      <c r="CN57" t="s">
        <v>495</v>
      </c>
      <c r="CO57" s="492" t="s">
        <v>1386</v>
      </c>
      <c r="CP57" t="str">
        <f t="shared" si="107"/>
        <v>Disclose PKI information</v>
      </c>
      <c r="CQ57" t="str">
        <f t="shared" si="108"/>
        <v>Guidance</v>
      </c>
      <c r="CR57" t="str">
        <f t="shared" si="109"/>
        <v>4.3.2.GY</v>
      </c>
      <c r="CS57" t="str">
        <f>IF(AND(CO57&lt;&gt;"",LEFT(CO57,1)&lt;&gt;"#"),IF(LEFT(CO57,1)="-",REPLACE(CO57,1,1,tech!$H$2),CO57),"")</f>
        <v>• Obligations of the PKI participants</v>
      </c>
      <c r="CT57" t="s">
        <v>495</v>
      </c>
    </row>
    <row r="58" spans="3:98" x14ac:dyDescent="0.25">
      <c r="C58" s="492" t="s">
        <v>469</v>
      </c>
      <c r="D58" t="str">
        <f>IF(AND(LEFT(C58,1)="#",IFERROR(LEN(_xlfn.TEXTBEFORE(C58," "))=2,0)),_xlfn.TEXTBEFORE(_xlfn.TEXTAFTER(C58," ")," "),D57)</f>
        <v>Advanced</v>
      </c>
      <c r="E58" t="str">
        <f t="shared" si="110"/>
        <v>Associated risks</v>
      </c>
      <c r="F58" t="str">
        <f>_xlfn.CONCAT(VLOOKUP(D58,tech!$A$13:$B$17,2,0),LEFT(E58,1),IF(G58="","X","Y"))</f>
        <v>3AY</v>
      </c>
      <c r="G58" t="str">
        <f>IF(IF(LEFT(C58,1)="-",C58,"")="","",REPLACE(IF(LEFT(C58,1)="-",C58,""),1,1,tech!$H$2))</f>
        <v>• Low probability of compromise</v>
      </c>
      <c r="H58" t="s">
        <v>495</v>
      </c>
      <c r="I58" s="492"/>
      <c r="J58" t="str">
        <f t="shared" si="65"/>
        <v>Scope and business drivers for PKI</v>
      </c>
      <c r="K58" t="str">
        <f t="shared" si="66"/>
        <v>Guidance</v>
      </c>
      <c r="L58" t="str">
        <f t="shared" si="67"/>
        <v>1.1.3.GY</v>
      </c>
      <c r="M58" t="str">
        <f>IF(AND(I58&lt;&gt;"",LEFT(I58,1)&lt;&gt;"#"),IF(LEFT(I58,1)="-",REPLACE(I58,1,1,tech!$H$2),I58),"")</f>
        <v/>
      </c>
      <c r="N58" t="s">
        <v>495</v>
      </c>
      <c r="O58" s="494" t="s">
        <v>608</v>
      </c>
      <c r="P58" t="str">
        <f t="shared" si="68"/>
        <v>Certificate policy is documented and published</v>
      </c>
      <c r="Q58" t="str">
        <f t="shared" si="69"/>
        <v>Guidance</v>
      </c>
      <c r="R58" t="str">
        <f t="shared" si="70"/>
        <v>1.2.2.GY</v>
      </c>
      <c r="S58" t="str">
        <f>IF(AND(O58&lt;&gt;"",LEFT(O58,1)&lt;&gt;"#"),IF(LEFT(O58,1)="-",REPLACE(O58,1,1,tech!$H$2),O58),"")</f>
        <v>• Identification and authentication</v>
      </c>
      <c r="T58" t="s">
        <v>495</v>
      </c>
      <c r="U58" s="494" t="s">
        <v>631</v>
      </c>
      <c r="V58" t="str">
        <f t="shared" si="71"/>
        <v>A program to monitor compliance with the policies is established</v>
      </c>
      <c r="W58" t="str">
        <f t="shared" si="72"/>
        <v>Assessment</v>
      </c>
      <c r="X58" t="str">
        <f t="shared" si="73"/>
        <v>1.3.2.AY</v>
      </c>
      <c r="Y58" t="str">
        <f>IF(AND(U58&lt;&gt;"",LEFT(U58,1)&lt;&gt;"#"),IF(LEFT(U58,1)="-",REPLACE(U58,1,1,tech!$H$2),U58),"")</f>
        <v>• Documented practices regarding periodic and aperiodic compliance assessments</v>
      </c>
      <c r="Z58" t="s">
        <v>495</v>
      </c>
      <c r="AA58" s="492" t="s">
        <v>504</v>
      </c>
      <c r="AB58" t="str">
        <f t="shared" si="74"/>
        <v>Processes and procedures are formally documented and followed</v>
      </c>
      <c r="AC58" t="str">
        <f t="shared" si="75"/>
        <v>References</v>
      </c>
      <c r="AD58" t="str">
        <f t="shared" si="76"/>
        <v>1.4.2.RY</v>
      </c>
      <c r="AE58" t="str">
        <f>IF(AND(AA58&lt;&gt;"",LEFT(AA58,1)&lt;&gt;"#"),IF(LEFT(AA58,1)="-",REPLACE(AA58,1,1,tech!$H$2),AA58),"")</f>
        <v>• [ISO/IEC 27001 - Information security management systems](https://www.iso.org/standard/54534.html)</v>
      </c>
      <c r="AF58" t="s">
        <v>495</v>
      </c>
      <c r="AG58" s="492"/>
      <c r="AH58" t="str">
        <f t="shared" si="77"/>
        <v>Inventory of cryptographic keys is documented and maintained</v>
      </c>
      <c r="AI58" t="str">
        <f t="shared" si="78"/>
        <v>Assessment</v>
      </c>
      <c r="AJ58" t="str">
        <f t="shared" si="79"/>
        <v>2.1.2.AX</v>
      </c>
      <c r="AK58" t="str">
        <f>IF(AND(AG58&lt;&gt;"",LEFT(AG58,1)&lt;&gt;"#"),IF(LEFT(AG58,1)="-",REPLACE(AG58,1,1,tech!$H$2),AG58),"")</f>
        <v/>
      </c>
      <c r="AL58" t="s">
        <v>495</v>
      </c>
      <c r="AM58" s="492" t="s">
        <v>800</v>
      </c>
      <c r="AN58" t="str">
        <f t="shared" si="80"/>
        <v>Certificate cipher suites are documented</v>
      </c>
      <c r="AO58" t="str">
        <f t="shared" si="81"/>
        <v>Assessment</v>
      </c>
      <c r="AP58" t="str">
        <f t="shared" si="82"/>
        <v>2.2.2.AY</v>
      </c>
      <c r="AQ58" t="str">
        <f>IF(AND(AM58&lt;&gt;"",LEFT(AM58,1)&lt;&gt;"#"),IF(LEFT(AM58,1)="-",REPLACE(AM58,1,1,tech!$H$2),AM58),"")</f>
        <v>* Determine the scope of applicability</v>
      </c>
      <c r="AR58" t="s">
        <v>495</v>
      </c>
      <c r="AS58" s="492"/>
      <c r="AT58" t="str">
        <f t="shared" si="83"/>
        <v>Separation and segmentation principles are applied</v>
      </c>
      <c r="AU58" t="str">
        <f t="shared" si="84"/>
        <v>Guidance</v>
      </c>
      <c r="AV58" t="str">
        <f t="shared" si="85"/>
        <v>2.3.2.GY</v>
      </c>
      <c r="AW58" t="str">
        <f>IF(AND(AS58&lt;&gt;"",LEFT(AS58,1)&lt;&gt;"#"),IF(LEFT(AS58,1)="-",REPLACE(AS58,1,1,tech!$H$2),AS58),"")</f>
        <v/>
      </c>
      <c r="AX58" t="s">
        <v>495</v>
      </c>
      <c r="AY58" s="492" t="s">
        <v>992</v>
      </c>
      <c r="AZ58" t="str">
        <f t="shared" si="86"/>
        <v>Request for change structure is documented and followed</v>
      </c>
      <c r="BA58" t="str">
        <f t="shared" si="87"/>
        <v>Guidance</v>
      </c>
      <c r="BB58" t="str">
        <f t="shared" si="88"/>
        <v>2.4.2.GY</v>
      </c>
      <c r="BC58" t="str">
        <f>IF(AND(AY58&lt;&gt;"",LEFT(AY58,1)&lt;&gt;"#"),IF(LEFT(AY58,1)="-",REPLACE(AY58,1,1,tech!$H$2),AY58),"")</f>
        <v>• changes in the algorithms and protocols</v>
      </c>
      <c r="BD58" t="s">
        <v>495</v>
      </c>
      <c r="BE58" s="492" t="s">
        <v>1058</v>
      </c>
      <c r="BF58" t="str">
        <f t="shared" si="89"/>
        <v>Cyber-security management and incident planning</v>
      </c>
      <c r="BG58" t="str">
        <f t="shared" si="90"/>
        <v>Assessment</v>
      </c>
      <c r="BH58" t="str">
        <f t="shared" si="91"/>
        <v>3.1.2.AY</v>
      </c>
      <c r="BI58" t="str">
        <f>IF(AND(BE58&lt;&gt;"",LEFT(BE58,1)&lt;&gt;"#"),IF(LEFT(BE58,1)="-",REPLACE(BE58,1,1,tech!$H$2),BE58),"")</f>
        <v>• Monitoring of cyber-Security threats</v>
      </c>
      <c r="BJ58" t="s">
        <v>495</v>
      </c>
      <c r="BK58" s="492"/>
      <c r="BL58" t="str">
        <f t="shared" si="92"/>
        <v>Documented integration guidance</v>
      </c>
      <c r="BM58" t="str">
        <f t="shared" si="93"/>
        <v>Assessment</v>
      </c>
      <c r="BN58" t="str">
        <f t="shared" si="94"/>
        <v>3.2.2.AX</v>
      </c>
      <c r="BO58" t="str">
        <f>IF(AND(BK58&lt;&gt;"",LEFT(BK58,1)&lt;&gt;"#"),IF(LEFT(BK58,1)="-",REPLACE(BK58,1,1,tech!$H$2),BK58),"")</f>
        <v/>
      </c>
      <c r="BP58" t="s">
        <v>495</v>
      </c>
      <c r="BQ58" s="492" t="s">
        <v>1182</v>
      </c>
      <c r="BR58" t="str">
        <f t="shared" si="95"/>
        <v>Event logs from systems are collected</v>
      </c>
      <c r="BS58" t="str">
        <f t="shared" si="96"/>
        <v>Guidance</v>
      </c>
      <c r="BT58" t="str">
        <f t="shared" si="97"/>
        <v>3.3.2.GY</v>
      </c>
      <c r="BU58" t="str">
        <f>IF(AND(BQ58&lt;&gt;"",LEFT(BQ58,1)&lt;&gt;"#"),IF(LEFT(BQ58,1)="-",REPLACE(BQ58,1,1,tech!$H$2),BQ58),"")</f>
        <v>• Type of event</v>
      </c>
      <c r="BV58" t="s">
        <v>495</v>
      </c>
      <c r="BW58" s="492" t="s">
        <v>502</v>
      </c>
      <c r="BX58" t="str">
        <f t="shared" si="98"/>
        <v>Monitoring and auditing of automated process</v>
      </c>
      <c r="BY58" t="str">
        <f t="shared" si="99"/>
        <v>Assessment</v>
      </c>
      <c r="BZ58" t="str">
        <f t="shared" si="100"/>
        <v>3.4.2.AY</v>
      </c>
      <c r="CA58" t="str">
        <f>IF(AND(BW58&lt;&gt;"",LEFT(BW58,1)&lt;&gt;"#"),IF(LEFT(BW58,1)="-",REPLACE(BW58,1,1,tech!$H$2),BW58),"")</f>
        <v>The following is sample evidence that can be used to assess the requirement:</v>
      </c>
      <c r="CB58" t="s">
        <v>495</v>
      </c>
      <c r="CC58" s="492" t="s">
        <v>503</v>
      </c>
      <c r="CD58" t="str">
        <f t="shared" si="101"/>
        <v>Resources are clearly defined</v>
      </c>
      <c r="CE58" t="str">
        <f t="shared" si="102"/>
        <v>References</v>
      </c>
      <c r="CF58" t="str">
        <f t="shared" si="103"/>
        <v>4.1.2.RX</v>
      </c>
      <c r="CG58" t="str">
        <f>IF(AND(CC58&lt;&gt;"",LEFT(CC58,1)&lt;&gt;"#"),IF(LEFT(CC58,1)="-",REPLACE(CC58,1,1,tech!$H$2),CC58),"")</f>
        <v/>
      </c>
      <c r="CH58" t="s">
        <v>495</v>
      </c>
      <c r="CI58" s="492" t="s">
        <v>1299</v>
      </c>
      <c r="CJ58" t="str">
        <f t="shared" si="104"/>
        <v>Responsible personnel receive training</v>
      </c>
      <c r="CK58" t="str">
        <f t="shared" si="105"/>
        <v>Guidance</v>
      </c>
      <c r="CL58" t="str">
        <f t="shared" si="106"/>
        <v>4.2.2.GY</v>
      </c>
      <c r="CM58" t="str">
        <f>IF(AND(CI58&lt;&gt;"",LEFT(CI58,1)&lt;&gt;"#"),IF(LEFT(CI58,1)="-",REPLACE(CI58,1,1,tech!$H$2),CI58),"")</f>
        <v>Training is provided in accordance with the current and approved training plan.</v>
      </c>
      <c r="CN58" t="s">
        <v>495</v>
      </c>
      <c r="CO58" s="492" t="s">
        <v>1387</v>
      </c>
      <c r="CP58" t="str">
        <f t="shared" si="107"/>
        <v>Disclose PKI information</v>
      </c>
      <c r="CQ58" t="str">
        <f t="shared" si="108"/>
        <v>Guidance</v>
      </c>
      <c r="CR58" t="str">
        <f t="shared" si="109"/>
        <v>4.3.2.GY</v>
      </c>
      <c r="CS58" t="str">
        <f>IF(AND(CO58&lt;&gt;"",LEFT(CO58,1)&lt;&gt;"#"),IF(LEFT(CO58,1)="-",REPLACE(CO58,1,1,tech!$H$2),CO58),"")</f>
        <v>• Legal liability of the PKI participants</v>
      </c>
      <c r="CT58" t="s">
        <v>495</v>
      </c>
    </row>
    <row r="59" spans="3:98" x14ac:dyDescent="0.25">
      <c r="C59" s="492"/>
      <c r="D59" t="str">
        <f t="shared" si="64"/>
        <v>Advanced</v>
      </c>
      <c r="E59" t="str">
        <f t="shared" si="110"/>
        <v>Associated risks</v>
      </c>
      <c r="F59" t="str">
        <f>_xlfn.CONCAT(VLOOKUP(D59,tech!$A$13:$B$17,2,0),LEFT(E59,1),IF(G59="","X","Y"))</f>
        <v>3AX</v>
      </c>
      <c r="G59" t="str">
        <f>IF(IF(LEFT(C59,1)="-",C59,"")="","",REPLACE(IF(LEFT(C59,1)="-",C59,""),1,1,tech!$H$2))</f>
        <v/>
      </c>
      <c r="H59" t="s">
        <v>495</v>
      </c>
      <c r="I59" s="492" t="s">
        <v>510</v>
      </c>
      <c r="J59" t="str">
        <f t="shared" si="65"/>
        <v>Scope and business drivers for PKI</v>
      </c>
      <c r="K59" t="str">
        <f t="shared" si="66"/>
        <v>Guidance</v>
      </c>
      <c r="L59" t="str">
        <f t="shared" si="67"/>
        <v>1.1.3.GY</v>
      </c>
      <c r="M59" t="str">
        <f>IF(AND(I59&lt;&gt;"",LEFT(I59,1)&lt;&gt;"#"),IF(LEFT(I59,1)="-",REPLACE(I59,1,1,tech!$H$2),I59),"")</f>
        <v>The scope and business drivers can be considered as a formal high-level overview of the PKI strategy and vision.</v>
      </c>
      <c r="N59" t="s">
        <v>495</v>
      </c>
      <c r="O59" s="494" t="s">
        <v>609</v>
      </c>
      <c r="P59" t="str">
        <f t="shared" si="68"/>
        <v>Certificate policy is documented and published</v>
      </c>
      <c r="Q59" t="str">
        <f t="shared" si="69"/>
        <v>Guidance</v>
      </c>
      <c r="R59" t="str">
        <f t="shared" si="70"/>
        <v>1.2.2.GY</v>
      </c>
      <c r="S59" t="str">
        <f>IF(AND(O59&lt;&gt;"",LEFT(O59,1)&lt;&gt;"#"),IF(LEFT(O59,1)="-",REPLACE(O59,1,1,tech!$H$2),O59),"")</f>
        <v>• certificate life-cycle operational requirements</v>
      </c>
      <c r="T59" t="s">
        <v>495</v>
      </c>
      <c r="U59" s="494" t="s">
        <v>632</v>
      </c>
      <c r="V59" t="str">
        <f t="shared" si="71"/>
        <v>A program to monitor compliance with the policies is established</v>
      </c>
      <c r="W59" t="str">
        <f t="shared" si="72"/>
        <v>Assessment</v>
      </c>
      <c r="X59" t="str">
        <f t="shared" si="73"/>
        <v>1.3.2.AY</v>
      </c>
      <c r="Y59" t="str">
        <f>IF(AND(U59&lt;&gt;"",LEFT(U59,1)&lt;&gt;"#"),IF(LEFT(U59,1)="-",REPLACE(U59,1,1,tech!$H$2),U59),"")</f>
        <v>• Documented practices for regularly review and reporting of security issues</v>
      </c>
      <c r="Z59" t="s">
        <v>495</v>
      </c>
      <c r="AA59" s="492" t="s">
        <v>668</v>
      </c>
      <c r="AB59" t="str">
        <f t="shared" si="74"/>
        <v>Processes and procedures are formally documented and followed</v>
      </c>
      <c r="AC59" t="str">
        <f t="shared" si="75"/>
        <v>References</v>
      </c>
      <c r="AD59" t="str">
        <f t="shared" si="76"/>
        <v>1.4.2.RY</v>
      </c>
      <c r="AE59" t="str">
        <f>IF(AND(AA59&lt;&gt;"",LEFT(AA59,1)&lt;&gt;"#"),IF(LEFT(AA59,1)="-",REPLACE(AA59,1,1,tech!$H$2),AA59),"")</f>
        <v>• [ENISA Publications](https://www.enisa.europa.eu/publications)</v>
      </c>
      <c r="AF59" t="s">
        <v>495</v>
      </c>
      <c r="AG59" s="492" t="s">
        <v>744</v>
      </c>
      <c r="AH59" t="str">
        <f t="shared" si="77"/>
        <v>Inventory of cryptographic keys is documented and maintained</v>
      </c>
      <c r="AI59" t="str">
        <f t="shared" si="78"/>
        <v>Assessment</v>
      </c>
      <c r="AJ59" t="str">
        <f t="shared" si="79"/>
        <v>2.1.2.AY</v>
      </c>
      <c r="AK59" t="str">
        <f>IF(AND(AG59&lt;&gt;"",LEFT(AG59,1)&lt;&gt;"#"),IF(LEFT(AG59,1)="-",REPLACE(AG59,1,1,tech!$H$2),AG59),"")</f>
        <v>• Documented inventory of cryptographic keys</v>
      </c>
      <c r="AL59" t="s">
        <v>495</v>
      </c>
      <c r="AM59" s="492" t="s">
        <v>801</v>
      </c>
      <c r="AN59" t="str">
        <f t="shared" si="80"/>
        <v>Certificate cipher suites are documented</v>
      </c>
      <c r="AO59" t="str">
        <f t="shared" si="81"/>
        <v>Assessment</v>
      </c>
      <c r="AP59" t="str">
        <f t="shared" si="82"/>
        <v>2.2.2.AY</v>
      </c>
      <c r="AQ59" t="str">
        <f>IF(AND(AM59&lt;&gt;"",LEFT(AM59,1)&lt;&gt;"#"),IF(LEFT(AM59,1)="-",REPLACE(AM59,1,1,tech!$H$2),AM59),"")</f>
        <v>* Documented and approved cipher suites with rationale for inclusion of algorithms</v>
      </c>
      <c r="AR59" t="s">
        <v>495</v>
      </c>
      <c r="AS59" s="492" t="s">
        <v>901</v>
      </c>
      <c r="AT59" t="str">
        <f t="shared" si="83"/>
        <v>Separation and segmentation principles are applied</v>
      </c>
      <c r="AU59" t="str">
        <f t="shared" si="84"/>
        <v>Guidance</v>
      </c>
      <c r="AV59" t="str">
        <f t="shared" si="85"/>
        <v>2.3.2.GY</v>
      </c>
      <c r="AW59" t="str">
        <f>IF(AND(AS59&lt;&gt;"",LEFT(AS59,1)&lt;&gt;"#"),IF(LEFT(AS59,1)="-",REPLACE(AS59,1,1,tech!$H$2),AS59),"")</f>
        <v>For the proper maintenance of the infrastructure and deployed PKI components, the staging/testing environment should be available in the same configuration as the production environment. If needed, development environments can be used for testing and development purposes.</v>
      </c>
      <c r="AX59" t="s">
        <v>495</v>
      </c>
      <c r="AY59" s="492"/>
      <c r="AZ59" t="str">
        <f t="shared" si="86"/>
        <v>Request for change structure is documented and followed</v>
      </c>
      <c r="BA59" t="str">
        <f t="shared" si="87"/>
        <v>Guidance</v>
      </c>
      <c r="BB59" t="str">
        <f t="shared" si="88"/>
        <v>2.4.2.GY</v>
      </c>
      <c r="BC59" t="str">
        <f>IF(AND(AY59&lt;&gt;"",LEFT(AY59,1)&lt;&gt;"#"),IF(LEFT(AY59,1)="-",REPLACE(AY59,1,1,tech!$H$2),AY59),"")</f>
        <v/>
      </c>
      <c r="BD59" t="s">
        <v>495</v>
      </c>
      <c r="BE59" s="492" t="s">
        <v>1059</v>
      </c>
      <c r="BF59" t="str">
        <f t="shared" si="89"/>
        <v>Cyber-security management and incident planning</v>
      </c>
      <c r="BG59" t="str">
        <f t="shared" si="90"/>
        <v>Assessment</v>
      </c>
      <c r="BH59" t="str">
        <f t="shared" si="91"/>
        <v>3.1.2.AY</v>
      </c>
      <c r="BI59" t="str">
        <f>IF(AND(BE59&lt;&gt;"",LEFT(BE59,1)&lt;&gt;"#"),IF(LEFT(BE59,1)="-",REPLACE(BE59,1,1,tech!$H$2),BE59),"")</f>
        <v>• Interview with the Security operations team</v>
      </c>
      <c r="BJ59" t="s">
        <v>495</v>
      </c>
      <c r="BK59" s="492" t="s">
        <v>1095</v>
      </c>
      <c r="BL59" t="str">
        <f t="shared" si="92"/>
        <v>Documented integration guidance</v>
      </c>
      <c r="BM59" t="str">
        <f t="shared" si="93"/>
        <v>Assessment</v>
      </c>
      <c r="BN59" t="str">
        <f t="shared" si="94"/>
        <v>3.2.2.AY</v>
      </c>
      <c r="BO59" t="str">
        <f>IF(AND(BK59&lt;&gt;"",LEFT(BK59,1)&lt;&gt;"#"),IF(LEFT(BK59,1)="-",REPLACE(BK59,1,1,tech!$H$2),BK59),"")</f>
        <v>The following evidence should be available for the assessment of the requirement:</v>
      </c>
      <c r="BP59" t="s">
        <v>495</v>
      </c>
      <c r="BQ59" s="492" t="s">
        <v>1183</v>
      </c>
      <c r="BR59" t="str">
        <f t="shared" si="95"/>
        <v>Event logs from systems are collected</v>
      </c>
      <c r="BS59" t="str">
        <f t="shared" si="96"/>
        <v>Guidance</v>
      </c>
      <c r="BT59" t="str">
        <f t="shared" si="97"/>
        <v>3.3.2.GY</v>
      </c>
      <c r="BU59" t="str">
        <f>IF(AND(BQ59&lt;&gt;"",LEFT(BQ59,1)&lt;&gt;"#"),IF(LEFT(BQ59,1)="-",REPLACE(BQ59,1,1,tech!$H$2),BQ59),"")</f>
        <v>• Date and time</v>
      </c>
      <c r="BV59" t="s">
        <v>495</v>
      </c>
      <c r="BW59" s="492" t="s">
        <v>1240</v>
      </c>
      <c r="BX59" t="str">
        <f t="shared" si="98"/>
        <v>Monitoring and auditing of automated process</v>
      </c>
      <c r="BY59" t="str">
        <f t="shared" si="99"/>
        <v>Assessment</v>
      </c>
      <c r="BZ59" t="str">
        <f t="shared" si="100"/>
        <v>3.4.2.AY</v>
      </c>
      <c r="CA59" t="str">
        <f>IF(AND(BW59&lt;&gt;"",LEFT(BW59,1)&lt;&gt;"#"),IF(LEFT(BW59,1)="-",REPLACE(BW59,1,1,tech!$H$2),BW59),"")</f>
        <v>• Documented Monitoring and auditing measures</v>
      </c>
      <c r="CB59" t="s">
        <v>495</v>
      </c>
      <c r="CC59" s="492"/>
      <c r="CD59" t="str">
        <f t="shared" si="101"/>
        <v>Resources are clearly defined</v>
      </c>
      <c r="CE59" t="str">
        <f t="shared" si="102"/>
        <v>References</v>
      </c>
      <c r="CF59" t="str">
        <f t="shared" si="103"/>
        <v>4.1.2.RX</v>
      </c>
      <c r="CG59" t="str">
        <f>IF(AND(CC59&lt;&gt;"",LEFT(CC59,1)&lt;&gt;"#"),IF(LEFT(CC59,1)="-",REPLACE(CC59,1,1,tech!$H$2),CC59),"")</f>
        <v/>
      </c>
      <c r="CH59" t="s">
        <v>495</v>
      </c>
      <c r="CI59" s="492"/>
      <c r="CJ59" t="str">
        <f t="shared" si="104"/>
        <v>Responsible personnel receive training</v>
      </c>
      <c r="CK59" t="str">
        <f t="shared" si="105"/>
        <v>Guidance</v>
      </c>
      <c r="CL59" t="str">
        <f t="shared" si="106"/>
        <v>4.2.2.GY</v>
      </c>
      <c r="CM59" t="str">
        <f>IF(AND(CI59&lt;&gt;"",LEFT(CI59,1)&lt;&gt;"#"),IF(LEFT(CI59,1)="-",REPLACE(CI59,1,1,tech!$H$2),CI59),"")</f>
        <v/>
      </c>
      <c r="CN59" t="s">
        <v>495</v>
      </c>
      <c r="CO59" s="492" t="s">
        <v>1388</v>
      </c>
      <c r="CP59" t="str">
        <f t="shared" si="107"/>
        <v>Disclose PKI information</v>
      </c>
      <c r="CQ59" t="str">
        <f t="shared" si="108"/>
        <v>Guidance</v>
      </c>
      <c r="CR59" t="str">
        <f t="shared" si="109"/>
        <v>4.3.2.GY</v>
      </c>
      <c r="CS59" t="str">
        <f>IF(AND(CO59&lt;&gt;"",LEFT(CO59,1)&lt;&gt;"#"),IF(LEFT(CO59,1)="-",REPLACE(CO59,1,1,tech!$H$2),CO59),"")</f>
        <v>• Warranty information</v>
      </c>
      <c r="CT59" t="s">
        <v>495</v>
      </c>
    </row>
    <row r="60" spans="3:98" x14ac:dyDescent="0.25">
      <c r="C60" s="492" t="s">
        <v>452</v>
      </c>
      <c r="D60" t="str">
        <f t="shared" si="64"/>
        <v>Managed</v>
      </c>
      <c r="E60" t="str">
        <f>IF(AND(LEFT(C60,1)="#",IFERROR(LEN(_xlfn.TEXTBEFORE(C60," "))=3,0)),_xlfn.TEXTAFTER(C60," "),E59)</f>
        <v>Associated risks</v>
      </c>
      <c r="F60" t="str">
        <f>_xlfn.CONCAT(VLOOKUP(D60,tech!$A$13:$B$17,2,0),LEFT(E60,1),IF(G60="","X","Y"))</f>
        <v>4AX</v>
      </c>
      <c r="G60" t="str">
        <f>IF(IF(LEFT(C60,1)="-",C60,"")="","",REPLACE(IF(LEFT(C60,1)="-",C60,""),1,1,tech!$H$2))</f>
        <v/>
      </c>
      <c r="H60" t="s">
        <v>495</v>
      </c>
      <c r="I60" s="492" t="s">
        <v>511</v>
      </c>
      <c r="J60" t="str">
        <f t="shared" si="65"/>
        <v>Scope and business drivers for PKI</v>
      </c>
      <c r="K60" t="str">
        <f t="shared" si="66"/>
        <v>Guidance</v>
      </c>
      <c r="L60" t="str">
        <f t="shared" si="67"/>
        <v>1.1.3.GY</v>
      </c>
      <c r="M60" t="str">
        <f>IF(AND(I60&lt;&gt;"",LEFT(I60,1)&lt;&gt;"#"),IF(LEFT(I60,1)="-",REPLACE(I60,1,1,tech!$H$2),I60),"")</f>
        <v>Its purpose is also to create a common understanding of the organizational PKI and to provide direction for the detailed design and implementation.</v>
      </c>
      <c r="N60" t="s">
        <v>495</v>
      </c>
      <c r="O60" s="494" t="s">
        <v>610</v>
      </c>
      <c r="P60" t="str">
        <f t="shared" si="68"/>
        <v>Certificate policy is documented and published</v>
      </c>
      <c r="Q60" t="str">
        <f t="shared" si="69"/>
        <v>Guidance</v>
      </c>
      <c r="R60" t="str">
        <f t="shared" si="70"/>
        <v>1.2.2.GY</v>
      </c>
      <c r="S60" t="str">
        <f>IF(AND(O60&lt;&gt;"",LEFT(O60,1)&lt;&gt;"#"),IF(LEFT(O60,1)="-",REPLACE(O60,1,1,tech!$H$2),O60),"")</f>
        <v>• Facility management and operational controls</v>
      </c>
      <c r="T60" t="s">
        <v>495</v>
      </c>
      <c r="U60" s="494" t="s">
        <v>633</v>
      </c>
      <c r="V60" t="str">
        <f t="shared" si="71"/>
        <v>A program to monitor compliance with the policies is established</v>
      </c>
      <c r="W60" t="str">
        <f t="shared" si="72"/>
        <v>Assessment</v>
      </c>
      <c r="X60" t="str">
        <f t="shared" si="73"/>
        <v>1.3.2.AY</v>
      </c>
      <c r="Y60" t="str">
        <f>IF(AND(U60&lt;&gt;"",LEFT(U60,1)&lt;&gt;"#"),IF(LEFT(U60,1)="-",REPLACE(U60,1,1,tech!$H$2),U60),"")</f>
        <v>• Documented and implemented processes for investigation and response to suspicious activities</v>
      </c>
      <c r="Z60" t="s">
        <v>495</v>
      </c>
      <c r="AA60" s="492"/>
      <c r="AB60" t="str">
        <f t="shared" si="74"/>
        <v>Processes and procedures are formally documented and followed</v>
      </c>
      <c r="AC60" t="str">
        <f t="shared" si="75"/>
        <v>References</v>
      </c>
      <c r="AD60" t="str">
        <f t="shared" si="76"/>
        <v>1.4.2.RX</v>
      </c>
      <c r="AE60" t="str">
        <f>IF(AND(AA60&lt;&gt;"",LEFT(AA60,1)&lt;&gt;"#"),IF(LEFT(AA60,1)="-",REPLACE(AA60,1,1,tech!$H$2),AA60),"")</f>
        <v/>
      </c>
      <c r="AF60" t="s">
        <v>495</v>
      </c>
      <c r="AG60" s="492" t="s">
        <v>745</v>
      </c>
      <c r="AH60" t="str">
        <f t="shared" si="77"/>
        <v>Inventory of cryptographic keys is documented and maintained</v>
      </c>
      <c r="AI60" t="str">
        <f t="shared" si="78"/>
        <v>Assessment</v>
      </c>
      <c r="AJ60" t="str">
        <f t="shared" si="79"/>
        <v>2.1.2.AY</v>
      </c>
      <c r="AK60" t="str">
        <f>IF(AND(AG60&lt;&gt;"",LEFT(AG60,1)&lt;&gt;"#"),IF(LEFT(AG60,1)="-",REPLACE(AG60,1,1,tech!$H$2),AG60),"")</f>
        <v>• Accuracy and consistency</v>
      </c>
      <c r="AL60" t="s">
        <v>495</v>
      </c>
      <c r="AM60" s="492" t="s">
        <v>802</v>
      </c>
      <c r="AN60" t="str">
        <f t="shared" si="80"/>
        <v>Certificate cipher suites are documented</v>
      </c>
      <c r="AO60" t="str">
        <f t="shared" si="81"/>
        <v>Assessment</v>
      </c>
      <c r="AP60" t="str">
        <f t="shared" si="82"/>
        <v>2.2.2.AY</v>
      </c>
      <c r="AQ60" t="str">
        <f>IF(AND(AM60&lt;&gt;"",LEFT(AM60,1)&lt;&gt;"#"),IF(LEFT(AM60,1)="-",REPLACE(AM60,1,1,tech!$H$2),AM60),"")</f>
        <v>* Documented agile path for migration to other algorithms when needed</v>
      </c>
      <c r="AR60" t="s">
        <v>495</v>
      </c>
      <c r="AS60" s="492" t="s">
        <v>902</v>
      </c>
      <c r="AT60" t="str">
        <f t="shared" si="83"/>
        <v>Separation and segmentation principles are applied</v>
      </c>
      <c r="AU60" t="str">
        <f t="shared" si="84"/>
        <v>Guidance</v>
      </c>
      <c r="AV60" t="str">
        <f t="shared" si="85"/>
        <v>2.3.2.GY</v>
      </c>
      <c r="AW60" t="str">
        <f>IF(AND(AS60&lt;&gt;"",LEFT(AS60,1)&lt;&gt;"#"),IF(LEFT(AS60,1)="-",REPLACE(AS60,1,1,tech!$H$2),AS60),"")</f>
        <v>Production, staging, and development environments should be logically separated and isolated from each other, including the data that is used in the environments.</v>
      </c>
      <c r="AX60" t="s">
        <v>495</v>
      </c>
      <c r="AY60" s="492" t="s">
        <v>970</v>
      </c>
      <c r="AZ60" t="str">
        <f t="shared" si="86"/>
        <v>Request for change structure is documented and followed</v>
      </c>
      <c r="BA60" t="str">
        <f t="shared" si="87"/>
        <v>Guidance</v>
      </c>
      <c r="BB60" t="str">
        <f t="shared" si="88"/>
        <v>2.4.2.GY</v>
      </c>
      <c r="BC60" t="str">
        <f>IF(AND(AY60&lt;&gt;"",LEFT(AY60,1)&lt;&gt;"#"),IF(LEFT(AY60,1)="-",REPLACE(AY60,1,1,tech!$H$2),AY60),"")</f>
        <v>Request for change structure should cover the following information:</v>
      </c>
      <c r="BD60" t="s">
        <v>495</v>
      </c>
      <c r="BE60" s="492"/>
      <c r="BF60" t="str">
        <f t="shared" si="89"/>
        <v>Cyber-security management and incident planning</v>
      </c>
      <c r="BG60" t="str">
        <f t="shared" si="90"/>
        <v>Assessment</v>
      </c>
      <c r="BH60" t="str">
        <f t="shared" si="91"/>
        <v>3.1.2.AX</v>
      </c>
      <c r="BI60" t="str">
        <f>IF(AND(BE60&lt;&gt;"",LEFT(BE60,1)&lt;&gt;"#"),IF(LEFT(BE60,1)="-",REPLACE(BE60,1,1,tech!$H$2),BE60),"")</f>
        <v/>
      </c>
      <c r="BJ60" t="s">
        <v>495</v>
      </c>
      <c r="BK60" s="492" t="s">
        <v>1126</v>
      </c>
      <c r="BL60" t="str">
        <f t="shared" si="92"/>
        <v>Documented integration guidance</v>
      </c>
      <c r="BM60" t="str">
        <f t="shared" si="93"/>
        <v>Assessment</v>
      </c>
      <c r="BN60" t="str">
        <f t="shared" si="94"/>
        <v>3.2.2.AY</v>
      </c>
      <c r="BO60" t="str">
        <f>IF(AND(BK60&lt;&gt;"",LEFT(BK60,1)&lt;&gt;"#"),IF(LEFT(BK60,1)="-",REPLACE(BK60,1,1,tech!$H$2),BK60),"")</f>
        <v>• Documented Integration guidance for all critical PKI components</v>
      </c>
      <c r="BP60" t="s">
        <v>495</v>
      </c>
      <c r="BQ60" s="492" t="s">
        <v>1184</v>
      </c>
      <c r="BR60" t="str">
        <f t="shared" si="95"/>
        <v>Event logs from systems are collected</v>
      </c>
      <c r="BS60" t="str">
        <f t="shared" si="96"/>
        <v>Guidance</v>
      </c>
      <c r="BT60" t="str">
        <f t="shared" si="97"/>
        <v>3.3.2.GY</v>
      </c>
      <c r="BU60" t="str">
        <f>IF(AND(BQ60&lt;&gt;"",LEFT(BQ60,1)&lt;&gt;"#"),IF(LEFT(BQ60,1)="-",REPLACE(BQ60,1,1,tech!$H$2),BQ60),"")</f>
        <v>• Success or failure indication</v>
      </c>
      <c r="BV60" t="s">
        <v>495</v>
      </c>
      <c r="BW60" s="492" t="s">
        <v>1241</v>
      </c>
      <c r="BX60" t="str">
        <f t="shared" si="98"/>
        <v>Monitoring and auditing of automated process</v>
      </c>
      <c r="BY60" t="str">
        <f t="shared" si="99"/>
        <v>Assessment</v>
      </c>
      <c r="BZ60" t="str">
        <f t="shared" si="100"/>
        <v>3.4.2.AY</v>
      </c>
      <c r="CA60" t="str">
        <f>IF(AND(BW60&lt;&gt;"",LEFT(BW60,1)&lt;&gt;"#"),IF(LEFT(BW60,1)="-",REPLACE(BW60,1,1,tech!$H$2),BW60),"")</f>
        <v>• Monitoring and auditing Tools and technologies applied</v>
      </c>
      <c r="CB60" t="s">
        <v>495</v>
      </c>
      <c r="CC60" s="492" t="s">
        <v>896</v>
      </c>
      <c r="CD60" t="str">
        <f t="shared" si="101"/>
        <v>Resources are clearly defined</v>
      </c>
      <c r="CE60" t="str">
        <f t="shared" si="102"/>
        <v>References</v>
      </c>
      <c r="CF60" t="str">
        <f t="shared" si="103"/>
        <v>4.1.2.RY</v>
      </c>
      <c r="CG60" t="str">
        <f>IF(AND(CC60&lt;&gt;"",LEFT(CC60,1)&lt;&gt;"#"),IF(LEFT(CC60,1)="-",REPLACE(CC60,1,1,tech!$H$2),CC60),"")</f>
        <v>• [ISO/IEC 20000 and related standards](https://www.iso.org/standard/70636.html)</v>
      </c>
      <c r="CH60" t="s">
        <v>495</v>
      </c>
      <c r="CI60" s="492" t="s">
        <v>1300</v>
      </c>
      <c r="CJ60" t="str">
        <f t="shared" si="104"/>
        <v>Responsible personnel receive training</v>
      </c>
      <c r="CK60" t="str">
        <f t="shared" si="105"/>
        <v>Guidance</v>
      </c>
      <c r="CL60" t="str">
        <f t="shared" si="106"/>
        <v>4.2.2.GY</v>
      </c>
      <c r="CM60" t="str">
        <f>IF(AND(CI60&lt;&gt;"",LEFT(CI60,1)&lt;&gt;"#"),IF(LEFT(CI60,1)="-",REPLACE(CI60,1,1,tech!$H$2),CI60),"")</f>
        <v>Methods and training content can vary, depending on personnel roles and covers:</v>
      </c>
      <c r="CN60" t="s">
        <v>495</v>
      </c>
      <c r="CO60" s="492" t="s">
        <v>1389</v>
      </c>
      <c r="CP60" t="str">
        <f t="shared" si="107"/>
        <v>Disclose PKI information</v>
      </c>
      <c r="CQ60" t="str">
        <f t="shared" si="108"/>
        <v>Guidance</v>
      </c>
      <c r="CR60" t="str">
        <f t="shared" si="109"/>
        <v>4.3.2.GY</v>
      </c>
      <c r="CS60" t="str">
        <f>IF(AND(CO60&lt;&gt;"",LEFT(CO60,1)&lt;&gt;"#"),IF(LEFT(CO60,1)="-",REPLACE(CO60,1,1,tech!$H$2),CO60),"")</f>
        <v>• Disclaimer information</v>
      </c>
      <c r="CT60" t="s">
        <v>495</v>
      </c>
    </row>
    <row r="61" spans="3:98" x14ac:dyDescent="0.25">
      <c r="C61" s="492"/>
      <c r="D61" t="str">
        <f t="shared" si="64"/>
        <v>Managed</v>
      </c>
      <c r="E61" t="str">
        <f t="shared" si="110"/>
        <v>Associated risks</v>
      </c>
      <c r="F61" t="str">
        <f>_xlfn.CONCAT(VLOOKUP(D61,tech!$A$13:$B$17,2,0),LEFT(E61,1),IF(G61="","X","Y"))</f>
        <v>4AX</v>
      </c>
      <c r="G61" t="str">
        <f>IF(IF(LEFT(C61,1)="-",C61,"")="","",REPLACE(IF(LEFT(C61,1)="-",C61,""),1,1,tech!$H$2))</f>
        <v/>
      </c>
      <c r="H61" t="s">
        <v>495</v>
      </c>
      <c r="I61" s="492" t="s">
        <v>512</v>
      </c>
      <c r="J61" t="str">
        <f t="shared" si="65"/>
        <v>Scope and business drivers for PKI</v>
      </c>
      <c r="K61" t="str">
        <f t="shared" si="66"/>
        <v>Guidance</v>
      </c>
      <c r="L61" t="str">
        <f t="shared" si="67"/>
        <v>1.1.3.GY</v>
      </c>
      <c r="M61" t="str">
        <f>IF(AND(I61&lt;&gt;"",LEFT(I61,1)&lt;&gt;"#"),IF(LEFT(I61,1)="-",REPLACE(I61,1,1,tech!$H$2),I61),"")</f>
        <v>The target audience consists typically of architects, experts, advisors, management, and sponsors.</v>
      </c>
      <c r="N61" t="s">
        <v>495</v>
      </c>
      <c r="O61" s="494" t="s">
        <v>611</v>
      </c>
      <c r="P61" t="str">
        <f t="shared" si="68"/>
        <v>Certificate policy is documented and published</v>
      </c>
      <c r="Q61" t="str">
        <f t="shared" si="69"/>
        <v>Guidance</v>
      </c>
      <c r="R61" t="str">
        <f t="shared" si="70"/>
        <v>1.2.2.GY</v>
      </c>
      <c r="S61" t="str">
        <f>IF(AND(O61&lt;&gt;"",LEFT(O61,1)&lt;&gt;"#"),IF(LEFT(O61,1)="-",REPLACE(O61,1,1,tech!$H$2),O61),"")</f>
        <v>• technical Security controls</v>
      </c>
      <c r="T61" t="s">
        <v>495</v>
      </c>
      <c r="U61" s="494"/>
      <c r="V61" t="str">
        <f t="shared" si="71"/>
        <v>A program to monitor compliance with the policies is established</v>
      </c>
      <c r="W61" t="str">
        <f t="shared" si="72"/>
        <v>Assessment</v>
      </c>
      <c r="X61" t="str">
        <f t="shared" si="73"/>
        <v>1.3.2.AX</v>
      </c>
      <c r="Y61" t="str">
        <f>IF(AND(U61&lt;&gt;"",LEFT(U61,1)&lt;&gt;"#"),IF(LEFT(U61,1)="-",REPLACE(U61,1,1,tech!$H$2),U61),"")</f>
        <v/>
      </c>
      <c r="Z61" t="s">
        <v>495</v>
      </c>
      <c r="AA61" s="492" t="s">
        <v>669</v>
      </c>
      <c r="AB61" t="str">
        <f t="shared" si="74"/>
        <v>Recurring activities are executed on time</v>
      </c>
      <c r="AC61" t="str">
        <f t="shared" si="75"/>
        <v>References</v>
      </c>
      <c r="AD61" t="str">
        <f t="shared" si="76"/>
        <v>1.4.3.RX</v>
      </c>
      <c r="AE61" t="str">
        <f>IF(AND(AA61&lt;&gt;"",LEFT(AA61,1)&lt;&gt;"#"),IF(LEFT(AA61,1)="-",REPLACE(AA61,1,1,tech!$H$2),AA61),"")</f>
        <v/>
      </c>
      <c r="AF61" t="s">
        <v>495</v>
      </c>
      <c r="AG61" s="492" t="s">
        <v>746</v>
      </c>
      <c r="AH61" t="str">
        <f t="shared" si="77"/>
        <v>Inventory of cryptographic keys is documented and maintained</v>
      </c>
      <c r="AI61" t="str">
        <f t="shared" si="78"/>
        <v>Assessment</v>
      </c>
      <c r="AJ61" t="str">
        <f t="shared" si="79"/>
        <v>2.1.2.AY</v>
      </c>
      <c r="AK61" t="str">
        <f>IF(AND(AG61&lt;&gt;"",LEFT(AG61,1)&lt;&gt;"#"),IF(LEFT(AG61,1)="-",REPLACE(AG61,1,1,tech!$H$2),AG61),"")</f>
        <v>• Completeness of inventory</v>
      </c>
      <c r="AL61" t="s">
        <v>495</v>
      </c>
      <c r="AM61" s="492" t="s">
        <v>803</v>
      </c>
      <c r="AN61" t="str">
        <f t="shared" si="80"/>
        <v>Certificate cipher suites are documented</v>
      </c>
      <c r="AO61" t="str">
        <f t="shared" si="81"/>
        <v>Assessment</v>
      </c>
      <c r="AP61" t="str">
        <f t="shared" si="82"/>
        <v>2.2.2.AY</v>
      </c>
      <c r="AQ61" t="str">
        <f>IF(AND(AM61&lt;&gt;"",LEFT(AM61,1)&lt;&gt;"#"),IF(LEFT(AM61,1)="-",REPLACE(AM61,1,1,tech!$H$2),AM61),"")</f>
        <v>* Cipher suites are enforced by certification authority</v>
      </c>
      <c r="AR61" t="s">
        <v>495</v>
      </c>
      <c r="AS61" s="492"/>
      <c r="AT61" t="str">
        <f t="shared" si="83"/>
        <v>Separation and segmentation principles are applied</v>
      </c>
      <c r="AU61" t="str">
        <f t="shared" si="84"/>
        <v>Guidance</v>
      </c>
      <c r="AV61" t="str">
        <f t="shared" si="85"/>
        <v>2.3.2.GX</v>
      </c>
      <c r="AW61" t="str">
        <f>IF(AND(AS61&lt;&gt;"",LEFT(AS61,1)&lt;&gt;"#"),IF(LEFT(AS61,1)="-",REPLACE(AS61,1,1,tech!$H$2),AS61),"")</f>
        <v/>
      </c>
      <c r="AX61" t="s">
        <v>495</v>
      </c>
      <c r="AY61" s="492" t="s">
        <v>993</v>
      </c>
      <c r="AZ61" t="str">
        <f t="shared" si="86"/>
        <v>Request for change structure is documented and followed</v>
      </c>
      <c r="BA61" t="str">
        <f t="shared" si="87"/>
        <v>Guidance</v>
      </c>
      <c r="BB61" t="str">
        <f t="shared" si="88"/>
        <v>2.4.2.GY</v>
      </c>
      <c r="BC61" t="str">
        <f>IF(AND(AY61&lt;&gt;"",LEFT(AY61,1)&lt;&gt;"#"),IF(LEFT(AY61,1)="-",REPLACE(AY61,1,1,tech!$H$2),AY61),"")</f>
        <v>• description of the change</v>
      </c>
      <c r="BD61" t="s">
        <v>495</v>
      </c>
      <c r="BE61" s="492" t="s">
        <v>503</v>
      </c>
      <c r="BF61" t="str">
        <f t="shared" si="89"/>
        <v>Cyber-security management and incident planning</v>
      </c>
      <c r="BG61" t="str">
        <f t="shared" si="90"/>
        <v>References</v>
      </c>
      <c r="BH61" t="str">
        <f t="shared" si="91"/>
        <v>3.1.2.RX</v>
      </c>
      <c r="BI61" t="str">
        <f>IF(AND(BE61&lt;&gt;"",LEFT(BE61,1)&lt;&gt;"#"),IF(LEFT(BE61,1)="-",REPLACE(BE61,1,1,tech!$H$2),BE61),"")</f>
        <v/>
      </c>
      <c r="BJ61" t="s">
        <v>495</v>
      </c>
      <c r="BK61" s="492" t="s">
        <v>1127</v>
      </c>
      <c r="BL61" t="str">
        <f t="shared" si="92"/>
        <v>Documented integration guidance</v>
      </c>
      <c r="BM61" t="str">
        <f t="shared" si="93"/>
        <v>Assessment</v>
      </c>
      <c r="BN61" t="str">
        <f t="shared" si="94"/>
        <v>3.2.2.AY</v>
      </c>
      <c r="BO61" t="str">
        <f>IF(AND(BK61&lt;&gt;"",LEFT(BK61,1)&lt;&gt;"#"),IF(LEFT(BK61,1)="-",REPLACE(BK61,1,1,tech!$H$2),BK61),"")</f>
        <v>• Interview with the system administrators and developers</v>
      </c>
      <c r="BP61" t="s">
        <v>495</v>
      </c>
      <c r="BQ61" s="492" t="s">
        <v>1185</v>
      </c>
      <c r="BR61" t="str">
        <f t="shared" si="95"/>
        <v>Event logs from systems are collected</v>
      </c>
      <c r="BS61" t="str">
        <f t="shared" si="96"/>
        <v>Guidance</v>
      </c>
      <c r="BT61" t="str">
        <f t="shared" si="97"/>
        <v>3.3.2.GY</v>
      </c>
      <c r="BU61" t="str">
        <f>IF(AND(BQ61&lt;&gt;"",LEFT(BQ61,1)&lt;&gt;"#"),IF(LEFT(BQ61,1)="-",REPLACE(BQ61,1,1,tech!$H$2),BQ61),"")</f>
        <v>• Origination of event</v>
      </c>
      <c r="BV61" t="s">
        <v>495</v>
      </c>
      <c r="BW61" s="492" t="s">
        <v>1242</v>
      </c>
      <c r="BX61" t="str">
        <f t="shared" si="98"/>
        <v>Monitoring and auditing of automated process</v>
      </c>
      <c r="BY61" t="str">
        <f t="shared" si="99"/>
        <v>Assessment</v>
      </c>
      <c r="BZ61" t="str">
        <f t="shared" si="100"/>
        <v>3.4.2.AY</v>
      </c>
      <c r="CA61" t="str">
        <f>IF(AND(BW61&lt;&gt;"",LEFT(BW61,1)&lt;&gt;"#"),IF(LEFT(BW61,1)="-",REPLACE(BW61,1,1,tech!$H$2),BW61),"")</f>
        <v>• Sample report or dashboard from Monitoring</v>
      </c>
      <c r="CB61" t="s">
        <v>495</v>
      </c>
      <c r="CC61" s="492"/>
      <c r="CD61" t="str">
        <f t="shared" si="101"/>
        <v>Resources are clearly defined</v>
      </c>
      <c r="CE61" t="str">
        <f t="shared" si="102"/>
        <v>References</v>
      </c>
      <c r="CF61" t="str">
        <f t="shared" si="103"/>
        <v>4.1.2.RX</v>
      </c>
      <c r="CG61" t="str">
        <f>IF(AND(CC61&lt;&gt;"",LEFT(CC61,1)&lt;&gt;"#"),IF(LEFT(CC61,1)="-",REPLACE(CC61,1,1,tech!$H$2),CC61),"")</f>
        <v/>
      </c>
      <c r="CH61" t="s">
        <v>495</v>
      </c>
      <c r="CI61" s="492" t="s">
        <v>1334</v>
      </c>
      <c r="CJ61" t="str">
        <f t="shared" si="104"/>
        <v>Responsible personnel receive training</v>
      </c>
      <c r="CK61" t="str">
        <f t="shared" si="105"/>
        <v>Guidance</v>
      </c>
      <c r="CL61" t="str">
        <f t="shared" si="106"/>
        <v>4.2.2.GY</v>
      </c>
      <c r="CM61" t="str">
        <f>IF(AND(CI61&lt;&gt;"",LEFT(CI61,1)&lt;&gt;"#"),IF(LEFT(CI61,1)="-",REPLACE(CI61,1,1,tech!$H$2),CI61),"")</f>
        <v>• New hires as part of the Onboarding process</v>
      </c>
      <c r="CN61" t="s">
        <v>495</v>
      </c>
      <c r="CO61" s="492" t="s">
        <v>1390</v>
      </c>
      <c r="CP61" t="str">
        <f t="shared" si="107"/>
        <v>Disclose PKI information</v>
      </c>
      <c r="CQ61" t="str">
        <f t="shared" si="108"/>
        <v>Guidance</v>
      </c>
      <c r="CR61" t="str">
        <f t="shared" si="109"/>
        <v>4.3.2.GY</v>
      </c>
      <c r="CS61" t="str">
        <f>IF(AND(CO61&lt;&gt;"",LEFT(CO61,1)&lt;&gt;"#"),IF(LEFT(CO61,1)="-",REPLACE(CO61,1,1,tech!$H$2),CO61),"")</f>
        <v>• Privacy and data protection information</v>
      </c>
      <c r="CT61" t="s">
        <v>495</v>
      </c>
    </row>
    <row r="62" spans="3:98" x14ac:dyDescent="0.25">
      <c r="C62" s="492" t="s">
        <v>445</v>
      </c>
      <c r="D62" t="str">
        <f t="shared" si="64"/>
        <v>Managed</v>
      </c>
      <c r="E62" t="str">
        <f t="shared" si="110"/>
        <v>Indicators</v>
      </c>
      <c r="F62" t="str">
        <f>_xlfn.CONCAT(VLOOKUP(D62,tech!$A$13:$B$17,2,0),LEFT(E62,1),IF(G62="","X","Y"))</f>
        <v>4IX</v>
      </c>
      <c r="G62" t="str">
        <f>IF(IF(LEFT(C62,1)="-",C62,"")="","",REPLACE(IF(LEFT(C62,1)="-",C62,""),1,1,tech!$H$2))</f>
        <v/>
      </c>
      <c r="H62" t="s">
        <v>495</v>
      </c>
      <c r="I62" s="492"/>
      <c r="J62" t="str">
        <f t="shared" si="65"/>
        <v>Scope and business drivers for PKI</v>
      </c>
      <c r="K62" t="str">
        <f t="shared" si="66"/>
        <v>Guidance</v>
      </c>
      <c r="L62" t="str">
        <f t="shared" si="67"/>
        <v>1.1.3.GX</v>
      </c>
      <c r="M62" t="str">
        <f>IF(AND(I62&lt;&gt;"",LEFT(I62,1)&lt;&gt;"#"),IF(LEFT(I62,1)="-",REPLACE(I62,1,1,tech!$H$2),I62),"")</f>
        <v/>
      </c>
      <c r="N62" t="s">
        <v>495</v>
      </c>
      <c r="O62" s="494" t="s">
        <v>600</v>
      </c>
      <c r="P62" t="str">
        <f t="shared" si="68"/>
        <v>Certificate policy is documented and published</v>
      </c>
      <c r="Q62" t="str">
        <f t="shared" si="69"/>
        <v>Guidance</v>
      </c>
      <c r="R62" t="str">
        <f t="shared" si="70"/>
        <v>1.2.2.GY</v>
      </c>
      <c r="S62" t="str">
        <f>IF(AND(O62&lt;&gt;"",LEFT(O62,1)&lt;&gt;"#"),IF(LEFT(O62,1)="-",REPLACE(O62,1,1,tech!$H$2),O62),"")</f>
        <v>• Certificate, CRL, and OCSP profiles</v>
      </c>
      <c r="T62" t="s">
        <v>495</v>
      </c>
      <c r="U62" s="494" t="s">
        <v>503</v>
      </c>
      <c r="V62" t="str">
        <f t="shared" si="71"/>
        <v>A program to monitor compliance with the policies is established</v>
      </c>
      <c r="W62" t="str">
        <f t="shared" si="72"/>
        <v>References</v>
      </c>
      <c r="X62" t="str">
        <f t="shared" si="73"/>
        <v>1.3.2.RX</v>
      </c>
      <c r="Y62" t="str">
        <f>IF(AND(U62&lt;&gt;"",LEFT(U62,1)&lt;&gt;"#"),IF(LEFT(U62,1)="-",REPLACE(U62,1,1,tech!$H$2),U62),"")</f>
        <v/>
      </c>
      <c r="Z62" t="s">
        <v>495</v>
      </c>
      <c r="AA62" s="492"/>
      <c r="AB62" t="str">
        <f t="shared" si="74"/>
        <v>Recurring activities are executed on time</v>
      </c>
      <c r="AC62" t="str">
        <f t="shared" si="75"/>
        <v>References</v>
      </c>
      <c r="AD62" t="str">
        <f t="shared" si="76"/>
        <v>1.4.3.RX</v>
      </c>
      <c r="AE62" t="str">
        <f>IF(AND(AA62&lt;&gt;"",LEFT(AA62,1)&lt;&gt;"#"),IF(LEFT(AA62,1)="-",REPLACE(AA62,1,1,tech!$H$2),AA62),"")</f>
        <v/>
      </c>
      <c r="AF62" t="s">
        <v>495</v>
      </c>
      <c r="AG62" s="492" t="s">
        <v>747</v>
      </c>
      <c r="AH62" t="str">
        <f t="shared" si="77"/>
        <v>Inventory of cryptographic keys is documented and maintained</v>
      </c>
      <c r="AI62" t="str">
        <f t="shared" si="78"/>
        <v>Assessment</v>
      </c>
      <c r="AJ62" t="str">
        <f t="shared" si="79"/>
        <v>2.1.2.AY</v>
      </c>
      <c r="AK62" t="str">
        <f>IF(AND(AG62&lt;&gt;"",LEFT(AG62,1)&lt;&gt;"#"),IF(LEFT(AG62,1)="-",REPLACE(AG62,1,1,tech!$H$2),AG62),"")</f>
        <v>• Validation of cryptographic key records</v>
      </c>
      <c r="AL62" t="s">
        <v>495</v>
      </c>
      <c r="AM62" s="492"/>
      <c r="AN62" t="str">
        <f t="shared" si="80"/>
        <v>Certificate cipher suites are documented</v>
      </c>
      <c r="AO62" t="str">
        <f t="shared" si="81"/>
        <v>Assessment</v>
      </c>
      <c r="AP62" t="str">
        <f t="shared" si="82"/>
        <v>2.2.2.AX</v>
      </c>
      <c r="AQ62" t="str">
        <f>IF(AND(AM62&lt;&gt;"",LEFT(AM62,1)&lt;&gt;"#"),IF(LEFT(AM62,1)="-",REPLACE(AM62,1,1,tech!$H$2),AM62),"")</f>
        <v/>
      </c>
      <c r="AR62" t="s">
        <v>495</v>
      </c>
      <c r="AS62" s="492" t="s">
        <v>501</v>
      </c>
      <c r="AT62" t="str">
        <f t="shared" si="83"/>
        <v>Separation and segmentation principles are applied</v>
      </c>
      <c r="AU62" t="str">
        <f t="shared" si="84"/>
        <v>Assessment</v>
      </c>
      <c r="AV62" t="str">
        <f t="shared" si="85"/>
        <v>2.3.2.AX</v>
      </c>
      <c r="AW62" t="str">
        <f>IF(AND(AS62&lt;&gt;"",LEFT(AS62,1)&lt;&gt;"#"),IF(LEFT(AS62,1)="-",REPLACE(AS62,1,1,tech!$H$2),AS62),"")</f>
        <v/>
      </c>
      <c r="AX62" t="s">
        <v>495</v>
      </c>
      <c r="AY62" s="492" t="s">
        <v>994</v>
      </c>
      <c r="AZ62" t="str">
        <f t="shared" si="86"/>
        <v>Request for change structure is documented and followed</v>
      </c>
      <c r="BA62" t="str">
        <f t="shared" si="87"/>
        <v>Guidance</v>
      </c>
      <c r="BB62" t="str">
        <f t="shared" si="88"/>
        <v>2.4.2.GY</v>
      </c>
      <c r="BC62" t="str">
        <f>IF(AND(AY62&lt;&gt;"",LEFT(AY62,1)&lt;&gt;"#"),IF(LEFT(AY62,1)="-",REPLACE(AY62,1,1,tech!$H$2),AY62),"")</f>
        <v>• Scope of the change</v>
      </c>
      <c r="BD62" t="s">
        <v>495</v>
      </c>
      <c r="BE62" s="492"/>
      <c r="BF62" t="str">
        <f t="shared" si="89"/>
        <v>Cyber-security management and incident planning</v>
      </c>
      <c r="BG62" t="str">
        <f t="shared" si="90"/>
        <v>References</v>
      </c>
      <c r="BH62" t="str">
        <f t="shared" si="91"/>
        <v>3.1.2.RX</v>
      </c>
      <c r="BI62" t="str">
        <f>IF(AND(BE62&lt;&gt;"",LEFT(BE62,1)&lt;&gt;"#"),IF(LEFT(BE62,1)="-",REPLACE(BE62,1,1,tech!$H$2),BE62),"")</f>
        <v/>
      </c>
      <c r="BJ62" t="s">
        <v>495</v>
      </c>
      <c r="BK62" s="492" t="s">
        <v>1128</v>
      </c>
      <c r="BL62" t="str">
        <f t="shared" si="92"/>
        <v>Documented integration guidance</v>
      </c>
      <c r="BM62" t="str">
        <f t="shared" si="93"/>
        <v>Assessment</v>
      </c>
      <c r="BN62" t="str">
        <f t="shared" si="94"/>
        <v>3.2.2.AY</v>
      </c>
      <c r="BO62" t="str">
        <f>IF(AND(BK62&lt;&gt;"",LEFT(BK62,1)&lt;&gt;"#"),IF(LEFT(BK62,1)="-",REPLACE(BK62,1,1,tech!$H$2),BK62),"")</f>
        <v>• Review of the Integration guidance</v>
      </c>
      <c r="BP62" t="s">
        <v>495</v>
      </c>
      <c r="BQ62" s="492" t="s">
        <v>1152</v>
      </c>
      <c r="BR62" t="str">
        <f t="shared" si="95"/>
        <v>Event logs from systems are collected</v>
      </c>
      <c r="BS62" t="str">
        <f t="shared" si="96"/>
        <v>Guidance</v>
      </c>
      <c r="BT62" t="str">
        <f t="shared" si="97"/>
        <v>3.3.2.GY</v>
      </c>
      <c r="BU62" t="str">
        <f>IF(AND(BQ62&lt;&gt;"",LEFT(BQ62,1)&lt;&gt;"#"),IF(LEFT(BQ62,1)="-",REPLACE(BQ62,1,1,tech!$H$2),BQ62),"")</f>
        <v>• Identity or name of affected data, system component, or resource</v>
      </c>
      <c r="BV62" t="s">
        <v>495</v>
      </c>
      <c r="BW62" s="492" t="s">
        <v>1243</v>
      </c>
      <c r="BX62" t="str">
        <f t="shared" si="98"/>
        <v>Monitoring and auditing of automated process</v>
      </c>
      <c r="BY62" t="str">
        <f t="shared" si="99"/>
        <v>Assessment</v>
      </c>
      <c r="BZ62" t="str">
        <f t="shared" si="100"/>
        <v>3.4.2.AY</v>
      </c>
      <c r="CA62" t="str">
        <f>IF(AND(BW62&lt;&gt;"",LEFT(BW62,1)&lt;&gt;"#"),IF(LEFT(BW62,1)="-",REPLACE(BW62,1,1,tech!$H$2),BW62),"")</f>
        <v>• Interview with responsible personnel</v>
      </c>
      <c r="CB62" t="s">
        <v>495</v>
      </c>
      <c r="CC62" s="492" t="s">
        <v>1268</v>
      </c>
      <c r="CD62" t="str">
        <f t="shared" si="101"/>
        <v>Availability of resources</v>
      </c>
      <c r="CE62" t="str">
        <f t="shared" si="102"/>
        <v>References</v>
      </c>
      <c r="CF62" t="str">
        <f t="shared" si="103"/>
        <v>4.1.3.RX</v>
      </c>
      <c r="CG62" t="str">
        <f>IF(AND(CC62&lt;&gt;"",LEFT(CC62,1)&lt;&gt;"#"),IF(LEFT(CC62,1)="-",REPLACE(CC62,1,1,tech!$H$2),CC62),"")</f>
        <v/>
      </c>
      <c r="CH62" t="s">
        <v>495</v>
      </c>
      <c r="CI62" s="492" t="s">
        <v>1335</v>
      </c>
      <c r="CJ62" t="str">
        <f t="shared" si="104"/>
        <v>Responsible personnel receive training</v>
      </c>
      <c r="CK62" t="str">
        <f t="shared" si="105"/>
        <v>Guidance</v>
      </c>
      <c r="CL62" t="str">
        <f t="shared" si="106"/>
        <v>4.2.2.GY</v>
      </c>
      <c r="CM62" t="str">
        <f>IF(AND(CI62&lt;&gt;"",LEFT(CI62,1)&lt;&gt;"#"),IF(LEFT(CI62,1)="-",REPLACE(CI62,1,1,tech!$H$2),CI62),"")</f>
        <v>• Periodic Training for all personnel (the frequency of the Training depends on the Role and responsibilities)</v>
      </c>
      <c r="CN62" t="s">
        <v>495</v>
      </c>
      <c r="CO62" s="492" t="s">
        <v>1483</v>
      </c>
      <c r="CP62" t="str">
        <f t="shared" si="107"/>
        <v>Disclose PKI information</v>
      </c>
      <c r="CQ62" t="str">
        <f t="shared" si="108"/>
        <v>Guidance</v>
      </c>
      <c r="CR62" t="str">
        <f t="shared" si="109"/>
        <v>4.3.2.GY</v>
      </c>
      <c r="CS62" t="str">
        <f>IF(AND(CO62&lt;&gt;"",LEFT(CO62,1)&lt;&gt;"#"),IF(LEFT(CO62,1)="-",REPLACE(CO62,1,1,tech!$H$2),CO62),"")</f>
        <v>• Other relevant information</v>
      </c>
      <c r="CT62" t="s">
        <v>495</v>
      </c>
    </row>
    <row r="63" spans="3:98" x14ac:dyDescent="0.25">
      <c r="C63" s="492"/>
      <c r="D63" t="str">
        <f t="shared" si="64"/>
        <v>Managed</v>
      </c>
      <c r="E63" t="str">
        <f t="shared" si="110"/>
        <v>Indicators</v>
      </c>
      <c r="F63" t="str">
        <f>_xlfn.CONCAT(VLOOKUP(D63,tech!$A$13:$B$17,2,0),LEFT(E63,1),IF(G63="","X","Y"))</f>
        <v>4IX</v>
      </c>
      <c r="G63" t="str">
        <f>IF(IF(LEFT(C63,1)="-",C63,"")="","",REPLACE(IF(LEFT(C63,1)="-",C63,""),1,1,tech!$H$2))</f>
        <v/>
      </c>
      <c r="H63" t="s">
        <v>495</v>
      </c>
      <c r="I63" s="492" t="s">
        <v>501</v>
      </c>
      <c r="J63" t="str">
        <f t="shared" si="65"/>
        <v>Scope and business drivers for PKI</v>
      </c>
      <c r="K63" t="str">
        <f t="shared" si="66"/>
        <v>Assessment</v>
      </c>
      <c r="L63" t="str">
        <f t="shared" si="67"/>
        <v>1.1.3.AX</v>
      </c>
      <c r="M63" t="str">
        <f>IF(AND(I63&lt;&gt;"",LEFT(I63,1)&lt;&gt;"#"),IF(LEFT(I63,1)="-",REPLACE(I63,1,1,tech!$H$2),I63),"")</f>
        <v/>
      </c>
      <c r="N63" t="s">
        <v>495</v>
      </c>
      <c r="O63" s="494" t="s">
        <v>612</v>
      </c>
      <c r="P63" t="str">
        <f t="shared" si="68"/>
        <v>Certificate policy is documented and published</v>
      </c>
      <c r="Q63" t="str">
        <f t="shared" si="69"/>
        <v>Guidance</v>
      </c>
      <c r="R63" t="str">
        <f t="shared" si="70"/>
        <v>1.2.2.GY</v>
      </c>
      <c r="S63" t="str">
        <f>IF(AND(O63&lt;&gt;"",LEFT(O63,1)&lt;&gt;"#"),IF(LEFT(O63,1)="-",REPLACE(O63,1,1,tech!$H$2),O63),"")</f>
        <v>• compliance audit and other assessments</v>
      </c>
      <c r="T63" t="s">
        <v>495</v>
      </c>
      <c r="U63" s="494"/>
      <c r="V63" t="str">
        <f t="shared" si="71"/>
        <v>A program to monitor compliance with the policies is established</v>
      </c>
      <c r="W63" t="str">
        <f t="shared" si="72"/>
        <v>References</v>
      </c>
      <c r="X63" t="str">
        <f t="shared" si="73"/>
        <v>1.3.2.RX</v>
      </c>
      <c r="Y63" t="str">
        <f>IF(AND(U63&lt;&gt;"",LEFT(U63,1)&lt;&gt;"#"),IF(LEFT(U63,1)="-",REPLACE(U63,1,1,tech!$H$2),U63),"")</f>
        <v/>
      </c>
      <c r="Z63" t="s">
        <v>495</v>
      </c>
      <c r="AA63" s="492" t="s">
        <v>498</v>
      </c>
      <c r="AB63" t="str">
        <f t="shared" si="74"/>
        <v>Recurring activities are executed on time</v>
      </c>
      <c r="AC63" t="str">
        <f t="shared" si="75"/>
        <v>Guidance</v>
      </c>
      <c r="AD63" t="str">
        <f t="shared" si="76"/>
        <v>1.4.3.GX</v>
      </c>
      <c r="AE63" t="str">
        <f>IF(AND(AA63&lt;&gt;"",LEFT(AA63,1)&lt;&gt;"#"),IF(LEFT(AA63,1)="-",REPLACE(AA63,1,1,tech!$H$2),AA63),"")</f>
        <v/>
      </c>
      <c r="AF63" t="s">
        <v>495</v>
      </c>
      <c r="AG63" s="492"/>
      <c r="AH63" t="str">
        <f t="shared" si="77"/>
        <v>Inventory of cryptographic keys is documented and maintained</v>
      </c>
      <c r="AI63" t="str">
        <f t="shared" si="78"/>
        <v>Assessment</v>
      </c>
      <c r="AJ63" t="str">
        <f t="shared" si="79"/>
        <v>2.1.2.AX</v>
      </c>
      <c r="AK63" t="str">
        <f>IF(AND(AG63&lt;&gt;"",LEFT(AG63,1)&lt;&gt;"#"),IF(LEFT(AG63,1)="-",REPLACE(AG63,1,1,tech!$H$2),AG63),"")</f>
        <v/>
      </c>
      <c r="AL63" t="s">
        <v>495</v>
      </c>
      <c r="AM63" s="492" t="s">
        <v>503</v>
      </c>
      <c r="AN63" t="str">
        <f t="shared" si="80"/>
        <v>Certificate cipher suites are documented</v>
      </c>
      <c r="AO63" t="str">
        <f t="shared" si="81"/>
        <v>References</v>
      </c>
      <c r="AP63" t="str">
        <f t="shared" si="82"/>
        <v>2.2.2.RX</v>
      </c>
      <c r="AQ63" t="str">
        <f>IF(AND(AM63&lt;&gt;"",LEFT(AM63,1)&lt;&gt;"#"),IF(LEFT(AM63,1)="-",REPLACE(AM63,1,1,tech!$H$2),AM63),"")</f>
        <v/>
      </c>
      <c r="AR63" t="s">
        <v>495</v>
      </c>
      <c r="AS63" s="492"/>
      <c r="AT63" t="str">
        <f t="shared" si="83"/>
        <v>Separation and segmentation principles are applied</v>
      </c>
      <c r="AU63" t="str">
        <f t="shared" si="84"/>
        <v>Assessment</v>
      </c>
      <c r="AV63" t="str">
        <f t="shared" si="85"/>
        <v>2.3.2.AX</v>
      </c>
      <c r="AW63" t="str">
        <f>IF(AND(AS63&lt;&gt;"",LEFT(AS63,1)&lt;&gt;"#"),IF(LEFT(AS63,1)="-",REPLACE(AS63,1,1,tech!$H$2),AS63),"")</f>
        <v/>
      </c>
      <c r="AX63" t="s">
        <v>495</v>
      </c>
      <c r="AY63" s="492" t="s">
        <v>995</v>
      </c>
      <c r="AZ63" t="str">
        <f t="shared" si="86"/>
        <v>Request for change structure is documented and followed</v>
      </c>
      <c r="BA63" t="str">
        <f t="shared" si="87"/>
        <v>Guidance</v>
      </c>
      <c r="BB63" t="str">
        <f t="shared" si="88"/>
        <v>2.4.2.GY</v>
      </c>
      <c r="BC63" t="str">
        <f>IF(AND(AY63&lt;&gt;"",LEFT(AY63,1)&lt;&gt;"#"),IF(LEFT(AY63,1)="-",REPLACE(AY63,1,1,tech!$H$2),AY63),"")</f>
        <v>• Category of the change</v>
      </c>
      <c r="BD63" t="s">
        <v>495</v>
      </c>
      <c r="BE63" s="492" t="s">
        <v>504</v>
      </c>
      <c r="BF63" t="str">
        <f t="shared" si="89"/>
        <v>Cyber-security management and incident planning</v>
      </c>
      <c r="BG63" t="str">
        <f t="shared" si="90"/>
        <v>References</v>
      </c>
      <c r="BH63" t="str">
        <f t="shared" si="91"/>
        <v>3.1.2.RY</v>
      </c>
      <c r="BI63" t="str">
        <f>IF(AND(BE63&lt;&gt;"",LEFT(BE63,1)&lt;&gt;"#"),IF(LEFT(BE63,1)="-",REPLACE(BE63,1,1,tech!$H$2),BE63),"")</f>
        <v>• [ISO/IEC 27001 - Information security management systems](https://www.iso.org/standard/54534.html)</v>
      </c>
      <c r="BJ63" t="s">
        <v>495</v>
      </c>
      <c r="BK63" s="492" t="s">
        <v>1129</v>
      </c>
      <c r="BL63" t="str">
        <f t="shared" si="92"/>
        <v>Documented integration guidance</v>
      </c>
      <c r="BM63" t="str">
        <f t="shared" si="93"/>
        <v>Assessment</v>
      </c>
      <c r="BN63" t="str">
        <f t="shared" si="94"/>
        <v>3.2.2.AY</v>
      </c>
      <c r="BO63" t="str">
        <f>IF(AND(BK63&lt;&gt;"",LEFT(BK63,1)&lt;&gt;"#"),IF(LEFT(BK63,1)="-",REPLACE(BK63,1,1,tech!$H$2),BK63),"")</f>
        <v>• system configuration Review</v>
      </c>
      <c r="BP63" t="s">
        <v>495</v>
      </c>
      <c r="BQ63" s="492" t="s">
        <v>1186</v>
      </c>
      <c r="BR63" t="str">
        <f t="shared" si="95"/>
        <v>Event logs from systems are collected</v>
      </c>
      <c r="BS63" t="str">
        <f t="shared" si="96"/>
        <v>Guidance</v>
      </c>
      <c r="BT63" t="str">
        <f t="shared" si="97"/>
        <v>3.3.2.GY</v>
      </c>
      <c r="BU63" t="str">
        <f>IF(AND(BQ63&lt;&gt;"",LEFT(BQ63,1)&lt;&gt;"#"),IF(LEFT(BQ63,1)="-",REPLACE(BQ63,1,1,tech!$H$2),BQ63),"")</f>
        <v>• Additional details</v>
      </c>
      <c r="BV63" t="s">
        <v>495</v>
      </c>
      <c r="BW63" s="492" t="s">
        <v>1244</v>
      </c>
      <c r="BX63" t="str">
        <f t="shared" si="98"/>
        <v>Monitoring and auditing of automated process</v>
      </c>
      <c r="BY63" t="str">
        <f t="shared" si="99"/>
        <v>Assessment</v>
      </c>
      <c r="BZ63" t="str">
        <f t="shared" si="100"/>
        <v>3.4.2.AY</v>
      </c>
      <c r="CA63" t="str">
        <f>IF(AND(BW63&lt;&gt;"",LEFT(BW63,1)&lt;&gt;"#"),IF(LEFT(BW63,1)="-",REPLACE(BW63,1,1,tech!$H$2),BW63),"")</f>
        <v>• Simulate failure of the automated certificate management process and verify that the failure is detected and reported</v>
      </c>
      <c r="CB63" t="s">
        <v>495</v>
      </c>
      <c r="CC63" s="492"/>
      <c r="CD63" t="str">
        <f t="shared" si="101"/>
        <v>Availability of resources</v>
      </c>
      <c r="CE63" t="str">
        <f t="shared" si="102"/>
        <v>References</v>
      </c>
      <c r="CF63" t="str">
        <f t="shared" si="103"/>
        <v>4.1.3.RX</v>
      </c>
      <c r="CG63" t="str">
        <f>IF(AND(CC63&lt;&gt;"",LEFT(CC63,1)&lt;&gt;"#"),IF(LEFT(CC63,1)="-",REPLACE(CC63,1,1,tech!$H$2),CC63),"")</f>
        <v/>
      </c>
      <c r="CH63" t="s">
        <v>495</v>
      </c>
      <c r="CI63" s="492"/>
      <c r="CJ63" t="str">
        <f t="shared" si="104"/>
        <v>Responsible personnel receive training</v>
      </c>
      <c r="CK63" t="str">
        <f t="shared" si="105"/>
        <v>Guidance</v>
      </c>
      <c r="CL63" t="str">
        <f t="shared" si="106"/>
        <v>4.2.2.GY</v>
      </c>
      <c r="CM63" t="str">
        <f>IF(AND(CI63&lt;&gt;"",LEFT(CI63,1)&lt;&gt;"#"),IF(LEFT(CI63,1)="-",REPLACE(CI63,1,1,tech!$H$2),CI63),"")</f>
        <v/>
      </c>
      <c r="CN63" t="s">
        <v>495</v>
      </c>
      <c r="CO63" s="492"/>
      <c r="CP63" t="str">
        <f t="shared" si="107"/>
        <v>Disclose PKI information</v>
      </c>
      <c r="CQ63" t="str">
        <f t="shared" si="108"/>
        <v>Guidance</v>
      </c>
      <c r="CR63" t="str">
        <f t="shared" si="109"/>
        <v>4.3.2.GX</v>
      </c>
      <c r="CS63" t="str">
        <f>IF(AND(CO63&lt;&gt;"",LEFT(CO63,1)&lt;&gt;"#"),IF(LEFT(CO63,1)="-",REPLACE(CO63,1,1,tech!$H$2),CO63),"")</f>
        <v/>
      </c>
      <c r="CT63" t="s">
        <v>495</v>
      </c>
    </row>
    <row r="64" spans="3:98" x14ac:dyDescent="0.25">
      <c r="C64" s="492" t="s">
        <v>470</v>
      </c>
      <c r="D64" t="str">
        <f t="shared" si="64"/>
        <v>Managed</v>
      </c>
      <c r="E64" t="str">
        <f t="shared" si="110"/>
        <v>Indicators</v>
      </c>
      <c r="F64" t="str">
        <f>_xlfn.CONCAT(VLOOKUP(D64,tech!$A$13:$B$17,2,0),LEFT(E64,1),IF(G64="","X","Y"))</f>
        <v>4IY</v>
      </c>
      <c r="G64" t="str">
        <f>IF(IF(LEFT(C64,1)="-",C64,"")="","",REPLACE(IF(LEFT(C64,1)="-",C64,""),1,1,tech!$H$2))</f>
        <v>• PKI is consistently managed</v>
      </c>
      <c r="H64" t="s">
        <v>495</v>
      </c>
      <c r="I64" s="492"/>
      <c r="J64" t="str">
        <f t="shared" si="65"/>
        <v>Scope and business drivers for PKI</v>
      </c>
      <c r="K64" t="str">
        <f t="shared" si="66"/>
        <v>Assessment</v>
      </c>
      <c r="L64" t="str">
        <f t="shared" si="67"/>
        <v>1.1.3.AX</v>
      </c>
      <c r="M64" t="str">
        <f>IF(AND(I64&lt;&gt;"",LEFT(I64,1)&lt;&gt;"#"),IF(LEFT(I64,1)="-",REPLACE(I64,1,1,tech!$H$2),I64),"")</f>
        <v/>
      </c>
      <c r="N64" t="s">
        <v>495</v>
      </c>
      <c r="O64" s="494" t="s">
        <v>613</v>
      </c>
      <c r="P64" t="str">
        <f t="shared" si="68"/>
        <v>Certificate policy is documented and published</v>
      </c>
      <c r="Q64" t="str">
        <f t="shared" si="69"/>
        <v>Guidance</v>
      </c>
      <c r="R64" t="str">
        <f t="shared" si="70"/>
        <v>1.2.2.GY</v>
      </c>
      <c r="S64" t="str">
        <f>IF(AND(O64&lt;&gt;"",LEFT(O64,1)&lt;&gt;"#"),IF(LEFT(O64,1)="-",REPLACE(O64,1,1,tech!$H$2),O64),"")</f>
        <v>• other business and legal matters</v>
      </c>
      <c r="T64" t="s">
        <v>495</v>
      </c>
      <c r="U64" s="494" t="s">
        <v>625</v>
      </c>
      <c r="V64" t="str">
        <f t="shared" si="71"/>
        <v>A program to monitor compliance with the policies is established</v>
      </c>
      <c r="W64" t="str">
        <f t="shared" si="72"/>
        <v>References</v>
      </c>
      <c r="X64" t="str">
        <f t="shared" si="73"/>
        <v>1.3.2.RY</v>
      </c>
      <c r="Y64" t="str">
        <f>IF(AND(U64&lt;&gt;"",LEFT(U64,1)&lt;&gt;"#"),IF(LEFT(U64,1)="-",REPLACE(U64,1,1,tech!$H$2),U64),"")</f>
        <v>• [ISO 37301 - Compliance management systems and related standard](https://www.iso.org/standard/75080.html)</v>
      </c>
      <c r="Z64" t="s">
        <v>495</v>
      </c>
      <c r="AA64" s="492"/>
      <c r="AB64" t="str">
        <f t="shared" si="74"/>
        <v>Recurring activities are executed on time</v>
      </c>
      <c r="AC64" t="str">
        <f t="shared" si="75"/>
        <v>Guidance</v>
      </c>
      <c r="AD64" t="str">
        <f t="shared" si="76"/>
        <v>1.4.3.GX</v>
      </c>
      <c r="AE64" t="str">
        <f>IF(AND(AA64&lt;&gt;"",LEFT(AA64,1)&lt;&gt;"#"),IF(LEFT(AA64,1)="-",REPLACE(AA64,1,1,tech!$H$2),AA64),"")</f>
        <v/>
      </c>
      <c r="AF64" t="s">
        <v>495</v>
      </c>
      <c r="AG64" s="492" t="s">
        <v>503</v>
      </c>
      <c r="AH64" t="str">
        <f t="shared" si="77"/>
        <v>Inventory of cryptographic keys is documented and maintained</v>
      </c>
      <c r="AI64" t="str">
        <f t="shared" si="78"/>
        <v>References</v>
      </c>
      <c r="AJ64" t="str">
        <f t="shared" si="79"/>
        <v>2.1.2.RX</v>
      </c>
      <c r="AK64" t="str">
        <f>IF(AND(AG64&lt;&gt;"",LEFT(AG64,1)&lt;&gt;"#"),IF(LEFT(AG64,1)="-",REPLACE(AG64,1,1,tech!$H$2),AG64),"")</f>
        <v/>
      </c>
      <c r="AL64" t="s">
        <v>495</v>
      </c>
      <c r="AM64" s="492"/>
      <c r="AN64" t="str">
        <f t="shared" si="80"/>
        <v>Certificate cipher suites are documented</v>
      </c>
      <c r="AO64" t="str">
        <f t="shared" si="81"/>
        <v>References</v>
      </c>
      <c r="AP64" t="str">
        <f t="shared" si="82"/>
        <v>2.2.2.RX</v>
      </c>
      <c r="AQ64" t="str">
        <f>IF(AND(AM64&lt;&gt;"",LEFT(AM64,1)&lt;&gt;"#"),IF(LEFT(AM64,1)="-",REPLACE(AM64,1,1,tech!$H$2),AM64),"")</f>
        <v/>
      </c>
      <c r="AR64" t="s">
        <v>495</v>
      </c>
      <c r="AS64" s="492" t="s">
        <v>502</v>
      </c>
      <c r="AT64" t="str">
        <f t="shared" si="83"/>
        <v>Separation and segmentation principles are applied</v>
      </c>
      <c r="AU64" t="str">
        <f t="shared" si="84"/>
        <v>Assessment</v>
      </c>
      <c r="AV64" t="str">
        <f t="shared" si="85"/>
        <v>2.3.2.AY</v>
      </c>
      <c r="AW64" t="str">
        <f>IF(AND(AS64&lt;&gt;"",LEFT(AS64,1)&lt;&gt;"#"),IF(LEFT(AS64,1)="-",REPLACE(AS64,1,1,tech!$H$2),AS64),"")</f>
        <v>The following is sample evidence that can be used to assess the requirement:</v>
      </c>
      <c r="AX64" t="s">
        <v>495</v>
      </c>
      <c r="AY64" s="492" t="s">
        <v>996</v>
      </c>
      <c r="AZ64" t="str">
        <f t="shared" si="86"/>
        <v>Request for change structure is documented and followed</v>
      </c>
      <c r="BA64" t="str">
        <f t="shared" si="87"/>
        <v>Guidance</v>
      </c>
      <c r="BB64" t="str">
        <f t="shared" si="88"/>
        <v>2.4.2.GY</v>
      </c>
      <c r="BC64" t="str">
        <f>IF(AND(AY64&lt;&gt;"",LEFT(AY64,1)&lt;&gt;"#"),IF(LEFT(AY64,1)="-",REPLACE(AY64,1,1,tech!$H$2),AY64),"")</f>
        <v>• Impacted systems and services</v>
      </c>
      <c r="BD64" t="s">
        <v>495</v>
      </c>
      <c r="BE64" s="492" t="s">
        <v>1027</v>
      </c>
      <c r="BF64" t="str">
        <f t="shared" si="89"/>
        <v>Cyber-security management and incident planning</v>
      </c>
      <c r="BG64" t="str">
        <f t="shared" si="90"/>
        <v>References</v>
      </c>
      <c r="BH64" t="str">
        <f t="shared" si="91"/>
        <v>3.1.2.RY</v>
      </c>
      <c r="BI64" t="str">
        <f>IF(AND(BE64&lt;&gt;"",LEFT(BE64,1)&lt;&gt;"#"),IF(LEFT(BE64,1)="-",REPLACE(BE64,1,1,tech!$H$2),BE64),"")</f>
        <v>• [Common Vulnerabilities and Exposures (CVE) Program](https://www.cve.org/About/Overview)</v>
      </c>
      <c r="BJ64" t="s">
        <v>495</v>
      </c>
      <c r="BK64" s="492"/>
      <c r="BL64" t="str">
        <f t="shared" si="92"/>
        <v>Documented integration guidance</v>
      </c>
      <c r="BM64" t="str">
        <f t="shared" si="93"/>
        <v>Assessment</v>
      </c>
      <c r="BN64" t="str">
        <f t="shared" si="94"/>
        <v>3.2.2.AX</v>
      </c>
      <c r="BO64" t="str">
        <f>IF(AND(BK64&lt;&gt;"",LEFT(BK64,1)&lt;&gt;"#"),IF(LEFT(BK64,1)="-",REPLACE(BK64,1,1,tech!$H$2),BK64),"")</f>
        <v/>
      </c>
      <c r="BP64" t="s">
        <v>495</v>
      </c>
      <c r="BQ64" s="492"/>
      <c r="BR64" t="str">
        <f t="shared" si="95"/>
        <v>Event logs from systems are collected</v>
      </c>
      <c r="BS64" t="str">
        <f t="shared" si="96"/>
        <v>Guidance</v>
      </c>
      <c r="BT64" t="str">
        <f t="shared" si="97"/>
        <v>3.3.2.GX</v>
      </c>
      <c r="BU64" t="str">
        <f>IF(AND(BQ64&lt;&gt;"",LEFT(BQ64,1)&lt;&gt;"#"),IF(LEFT(BQ64,1)="-",REPLACE(BQ64,1,1,tech!$H$2),BQ64),"")</f>
        <v/>
      </c>
      <c r="BV64" t="s">
        <v>495</v>
      </c>
      <c r="BW64" s="492"/>
      <c r="BX64" t="str">
        <f t="shared" si="98"/>
        <v>Monitoring and auditing of automated process</v>
      </c>
      <c r="BY64" t="str">
        <f t="shared" si="99"/>
        <v>Assessment</v>
      </c>
      <c r="BZ64" t="str">
        <f t="shared" si="100"/>
        <v>3.4.2.AX</v>
      </c>
      <c r="CA64" t="str">
        <f>IF(AND(BW64&lt;&gt;"",LEFT(BW64,1)&lt;&gt;"#"),IF(LEFT(BW64,1)="-",REPLACE(BW64,1,1,tech!$H$2),BW64),"")</f>
        <v/>
      </c>
      <c r="CB64" t="s">
        <v>495</v>
      </c>
      <c r="CC64" s="492" t="s">
        <v>498</v>
      </c>
      <c r="CD64" t="str">
        <f t="shared" si="101"/>
        <v>Availability of resources</v>
      </c>
      <c r="CE64" t="str">
        <f t="shared" si="102"/>
        <v>Guidance</v>
      </c>
      <c r="CF64" t="str">
        <f t="shared" si="103"/>
        <v>4.1.3.GX</v>
      </c>
      <c r="CG64" t="str">
        <f>IF(AND(CC64&lt;&gt;"",LEFT(CC64,1)&lt;&gt;"#"),IF(LEFT(CC64,1)="-",REPLACE(CC64,1,1,tech!$H$2),CC64),"")</f>
        <v/>
      </c>
      <c r="CH64" t="s">
        <v>495</v>
      </c>
      <c r="CI64" s="492" t="s">
        <v>1301</v>
      </c>
      <c r="CJ64" t="str">
        <f t="shared" si="104"/>
        <v>Responsible personnel receive training</v>
      </c>
      <c r="CK64" t="str">
        <f t="shared" si="105"/>
        <v>Guidance</v>
      </c>
      <c r="CL64" t="str">
        <f t="shared" si="106"/>
        <v>4.2.2.GY</v>
      </c>
      <c r="CM64" t="str">
        <f>IF(AND(CI64&lt;&gt;"",LEFT(CI64,1)&lt;&gt;"#"),IF(LEFT(CI64,1)="-",REPLACE(CI64,1,1,tech!$H$2),CI64),"")</f>
        <v>For each training, attendance should be recorded and documented, and in case the training is not completed, the reason should be documented.</v>
      </c>
      <c r="CN64" t="s">
        <v>495</v>
      </c>
      <c r="CO64" s="492" t="s">
        <v>501</v>
      </c>
      <c r="CP64" t="str">
        <f t="shared" si="107"/>
        <v>Disclose PKI information</v>
      </c>
      <c r="CQ64" t="str">
        <f t="shared" si="108"/>
        <v>Assessment</v>
      </c>
      <c r="CR64" t="str">
        <f t="shared" si="109"/>
        <v>4.3.2.AX</v>
      </c>
      <c r="CS64" t="str">
        <f>IF(AND(CO64&lt;&gt;"",LEFT(CO64,1)&lt;&gt;"#"),IF(LEFT(CO64,1)="-",REPLACE(CO64,1,1,tech!$H$2),CO64),"")</f>
        <v/>
      </c>
      <c r="CT64" t="s">
        <v>495</v>
      </c>
    </row>
    <row r="65" spans="3:98" x14ac:dyDescent="0.25">
      <c r="C65" s="492" t="s">
        <v>471</v>
      </c>
      <c r="D65" t="str">
        <f t="shared" si="64"/>
        <v>Managed</v>
      </c>
      <c r="E65" t="str">
        <f t="shared" si="110"/>
        <v>Indicators</v>
      </c>
      <c r="F65" t="str">
        <f>_xlfn.CONCAT(VLOOKUP(D65,tech!$A$13:$B$17,2,0),LEFT(E65,1),IF(G65="","X","Y"))</f>
        <v>4IY</v>
      </c>
      <c r="G65" t="str">
        <f>IF(IF(LEFT(C65,1)="-",C65,"")="","",REPLACE(IF(LEFT(C65,1)="-",C65,""),1,1,tech!$H$2))</f>
        <v>• Well defined CP and CPS for provided services</v>
      </c>
      <c r="H65" t="s">
        <v>495</v>
      </c>
      <c r="I65" s="492" t="s">
        <v>502</v>
      </c>
      <c r="J65" t="str">
        <f t="shared" si="65"/>
        <v>Scope and business drivers for PKI</v>
      </c>
      <c r="K65" t="str">
        <f t="shared" si="66"/>
        <v>Assessment</v>
      </c>
      <c r="L65" t="str">
        <f t="shared" si="67"/>
        <v>1.1.3.AY</v>
      </c>
      <c r="M65" t="str">
        <f>IF(AND(I65&lt;&gt;"",LEFT(I65,1)&lt;&gt;"#"),IF(LEFT(I65,1)="-",REPLACE(I65,1,1,tech!$H$2),I65),"")</f>
        <v>The following is sample evidence that can be used to assess the requirement:</v>
      </c>
      <c r="N65" t="s">
        <v>495</v>
      </c>
      <c r="O65" s="492"/>
      <c r="P65" t="str">
        <f t="shared" si="68"/>
        <v>Certificate policy is documented and published</v>
      </c>
      <c r="Q65" t="str">
        <f t="shared" si="69"/>
        <v>Guidance</v>
      </c>
      <c r="R65" t="str">
        <f t="shared" si="70"/>
        <v>1.2.2.GX</v>
      </c>
      <c r="S65" t="str">
        <f>IF(AND(O65&lt;&gt;"",LEFT(O65,1)&lt;&gt;"#"),IF(LEFT(O65,1)="-",REPLACE(O65,1,1,tech!$H$2),O65),"")</f>
        <v/>
      </c>
      <c r="T65" t="s">
        <v>495</v>
      </c>
      <c r="U65" s="492" t="s">
        <v>626</v>
      </c>
      <c r="V65" t="str">
        <f t="shared" si="71"/>
        <v>A program to monitor compliance with the policies is established</v>
      </c>
      <c r="W65" t="str">
        <f t="shared" si="72"/>
        <v>References</v>
      </c>
      <c r="X65" t="str">
        <f t="shared" si="73"/>
        <v>1.3.2.RY</v>
      </c>
      <c r="Y65" t="str">
        <f>IF(AND(U65&lt;&gt;"",LEFT(U65,1)&lt;&gt;"#"),IF(LEFT(U65,1)="-",REPLACE(U65,1,1,tech!$H$2),U65),"")</f>
        <v>• [NIST Risk Management Framework](https://csrc.nist.gov/Projects/risk-management)</v>
      </c>
      <c r="Z65" t="s">
        <v>495</v>
      </c>
      <c r="AA65" s="492" t="s">
        <v>670</v>
      </c>
      <c r="AB65" t="str">
        <f t="shared" si="74"/>
        <v>Recurring activities are executed on time</v>
      </c>
      <c r="AC65" t="str">
        <f t="shared" si="75"/>
        <v>Guidance</v>
      </c>
      <c r="AD65" t="str">
        <f t="shared" si="76"/>
        <v>1.4.3.GY</v>
      </c>
      <c r="AE65" t="str">
        <f>IF(AND(AA65&lt;&gt;"",LEFT(AA65,1)&lt;&gt;"#"),IF(LEFT(AA65,1)="-",REPLACE(AA65,1,1,tech!$H$2),AA65),"")</f>
        <v>Recurring activities are the activities that are performed on a regular basis, such as certificate management operations, backup procedures, security reviews, risk assessment, reviews of logs and security events, and other.</v>
      </c>
      <c r="AF65" t="s">
        <v>495</v>
      </c>
      <c r="AG65" s="492"/>
      <c r="AH65" t="str">
        <f t="shared" si="77"/>
        <v>Inventory of cryptographic keys is documented and maintained</v>
      </c>
      <c r="AI65" t="str">
        <f t="shared" si="78"/>
        <v>References</v>
      </c>
      <c r="AJ65" t="str">
        <f t="shared" si="79"/>
        <v>2.1.2.RX</v>
      </c>
      <c r="AK65" t="str">
        <f>IF(AND(AG65&lt;&gt;"",LEFT(AG65,1)&lt;&gt;"#"),IF(LEFT(AG65,1)="-",REPLACE(AG65,1,1,tech!$H$2),AG65),"")</f>
        <v/>
      </c>
      <c r="AL65" t="s">
        <v>495</v>
      </c>
      <c r="AM65" s="492" t="s">
        <v>793</v>
      </c>
      <c r="AN65" t="str">
        <f t="shared" si="80"/>
        <v>Certificate cipher suites are documented</v>
      </c>
      <c r="AO65" t="str">
        <f t="shared" si="81"/>
        <v>References</v>
      </c>
      <c r="AP65" t="str">
        <f t="shared" si="82"/>
        <v>2.2.2.RY</v>
      </c>
      <c r="AQ65" t="str">
        <f>IF(AND(AM65&lt;&gt;"",LEFT(AM65,1)&lt;&gt;"#"),IF(LEFT(AM65,1)="-",REPLACE(AM65,1,1,tech!$H$2),AM65),"")</f>
        <v>* [RFC 5280 - Internet X.509 Public Key Infrastructure Certificate and Certificate Revocation List (CRL) Profile](https://datatracker.ietf.org/doc/html/rfc5280)</v>
      </c>
      <c r="AR65" t="s">
        <v>495</v>
      </c>
      <c r="AS65" s="492" t="s">
        <v>919</v>
      </c>
      <c r="AT65" t="str">
        <f t="shared" si="83"/>
        <v>Separation and segmentation principles are applied</v>
      </c>
      <c r="AU65" t="str">
        <f t="shared" si="84"/>
        <v>Assessment</v>
      </c>
      <c r="AV65" t="str">
        <f t="shared" si="85"/>
        <v>2.3.2.AY</v>
      </c>
      <c r="AW65" t="str">
        <f>IF(AND(AS65&lt;&gt;"",LEFT(AS65,1)&lt;&gt;"#"),IF(LEFT(AS65,1)="-",REPLACE(AS65,1,1,tech!$H$2),AS65),"")</f>
        <v>• network topology and diagram</v>
      </c>
      <c r="AX65" t="s">
        <v>495</v>
      </c>
      <c r="AY65" s="492" t="s">
        <v>997</v>
      </c>
      <c r="AZ65" t="str">
        <f t="shared" si="86"/>
        <v>Request for change structure is documented and followed</v>
      </c>
      <c r="BA65" t="str">
        <f t="shared" si="87"/>
        <v>Guidance</v>
      </c>
      <c r="BB65" t="str">
        <f t="shared" si="88"/>
        <v>2.4.2.GY</v>
      </c>
      <c r="BC65" t="str">
        <f>IF(AND(AY65&lt;&gt;"",LEFT(AY65,1)&lt;&gt;"#"),IF(LEFT(AY65,1)="-",REPLACE(AY65,1,1,tech!$H$2),AY65),"")</f>
        <v>• Back-out Procedure in case of failure</v>
      </c>
      <c r="BD65" t="s">
        <v>495</v>
      </c>
      <c r="BE65" s="492" t="s">
        <v>1028</v>
      </c>
      <c r="BF65" t="str">
        <f t="shared" si="89"/>
        <v>Cyber-security management and incident planning</v>
      </c>
      <c r="BG65" t="str">
        <f t="shared" si="90"/>
        <v>References</v>
      </c>
      <c r="BH65" t="str">
        <f t="shared" si="91"/>
        <v>3.1.2.RY</v>
      </c>
      <c r="BI65" t="str">
        <f>IF(AND(BE65&lt;&gt;"",LEFT(BE65,1)&lt;&gt;"#"),IF(LEFT(BE65,1)="-",REPLACE(BE65,1,1,tech!$H$2),BE65),"")</f>
        <v>• [NIST Special Publication 800-61 Revision 2 - Computer Security Incident Handling Guide](https://csrc.nist.gov/publications/detail/sp/800-61/rev-2/final)</v>
      </c>
      <c r="BJ65" t="s">
        <v>495</v>
      </c>
      <c r="BK65" s="492" t="s">
        <v>503</v>
      </c>
      <c r="BL65" t="str">
        <f t="shared" si="92"/>
        <v>Documented integration guidance</v>
      </c>
      <c r="BM65" t="str">
        <f t="shared" si="93"/>
        <v>References</v>
      </c>
      <c r="BN65" t="str">
        <f t="shared" si="94"/>
        <v>3.2.2.RX</v>
      </c>
      <c r="BO65" t="str">
        <f>IF(AND(BK65&lt;&gt;"",LEFT(BK65,1)&lt;&gt;"#"),IF(LEFT(BK65,1)="-",REPLACE(BK65,1,1,tech!$H$2),BK65),"")</f>
        <v/>
      </c>
      <c r="BP65" t="s">
        <v>495</v>
      </c>
      <c r="BQ65" s="492" t="s">
        <v>501</v>
      </c>
      <c r="BR65" t="str">
        <f t="shared" si="95"/>
        <v>Event logs from systems are collected</v>
      </c>
      <c r="BS65" t="str">
        <f t="shared" si="96"/>
        <v>Assessment</v>
      </c>
      <c r="BT65" t="str">
        <f t="shared" si="97"/>
        <v>3.3.2.AX</v>
      </c>
      <c r="BU65" t="str">
        <f>IF(AND(BQ65&lt;&gt;"",LEFT(BQ65,1)&lt;&gt;"#"),IF(LEFT(BQ65,1)="-",REPLACE(BQ65,1,1,tech!$H$2),BQ65),"")</f>
        <v/>
      </c>
      <c r="BV65" t="s">
        <v>495</v>
      </c>
      <c r="BW65" s="492" t="s">
        <v>503</v>
      </c>
      <c r="BX65" t="str">
        <f t="shared" si="98"/>
        <v>Monitoring and auditing of automated process</v>
      </c>
      <c r="BY65" t="str">
        <f t="shared" si="99"/>
        <v>References</v>
      </c>
      <c r="BZ65" t="str">
        <f t="shared" si="100"/>
        <v>3.4.2.RX</v>
      </c>
      <c r="CA65" t="str">
        <f>IF(AND(BW65&lt;&gt;"",LEFT(BW65,1)&lt;&gt;"#"),IF(LEFT(BW65,1)="-",REPLACE(BW65,1,1,tech!$H$2),BW65),"")</f>
        <v/>
      </c>
      <c r="CB65" t="s">
        <v>495</v>
      </c>
      <c r="CC65" s="492"/>
      <c r="CD65" t="str">
        <f t="shared" si="101"/>
        <v>Availability of resources</v>
      </c>
      <c r="CE65" t="str">
        <f t="shared" si="102"/>
        <v>Guidance</v>
      </c>
      <c r="CF65" t="str">
        <f t="shared" si="103"/>
        <v>4.1.3.GX</v>
      </c>
      <c r="CG65" t="str">
        <f>IF(AND(CC65&lt;&gt;"",LEFT(CC65,1)&lt;&gt;"#"),IF(LEFT(CC65,1)="-",REPLACE(CC65,1,1,tech!$H$2),CC65),"")</f>
        <v/>
      </c>
      <c r="CH65" t="s">
        <v>495</v>
      </c>
      <c r="CI65" s="492" t="s">
        <v>1302</v>
      </c>
      <c r="CJ65" t="str">
        <f t="shared" si="104"/>
        <v>Responsible personnel receive training</v>
      </c>
      <c r="CK65" t="str">
        <f t="shared" si="105"/>
        <v>Guidance</v>
      </c>
      <c r="CL65" t="str">
        <f t="shared" si="106"/>
        <v>4.2.2.GY</v>
      </c>
      <c r="CM65" t="str">
        <f>IF(AND(CI65&lt;&gt;"",LEFT(CI65,1)&lt;&gt;"#"),IF(LEFT(CI65,1)="-",REPLACE(CI65,1,1,tech!$H$2),CI65),"")</f>
        <v>In case there are requirements for score or threshold to be achieved, the results should be documented.</v>
      </c>
      <c r="CN65" t="s">
        <v>495</v>
      </c>
      <c r="CO65" s="492"/>
      <c r="CP65" t="str">
        <f t="shared" si="107"/>
        <v>Disclose PKI information</v>
      </c>
      <c r="CQ65" t="str">
        <f t="shared" si="108"/>
        <v>Assessment</v>
      </c>
      <c r="CR65" t="str">
        <f t="shared" si="109"/>
        <v>4.3.2.AX</v>
      </c>
      <c r="CS65" t="str">
        <f>IF(AND(CO65&lt;&gt;"",LEFT(CO65,1)&lt;&gt;"#"),IF(LEFT(CO65,1)="-",REPLACE(CO65,1,1,tech!$H$2),CO65),"")</f>
        <v/>
      </c>
      <c r="CT65" t="s">
        <v>495</v>
      </c>
    </row>
    <row r="66" spans="3:98" x14ac:dyDescent="0.25">
      <c r="C66" s="492" t="s">
        <v>472</v>
      </c>
      <c r="D66" t="str">
        <f t="shared" si="64"/>
        <v>Managed</v>
      </c>
      <c r="E66" t="str">
        <f t="shared" si="110"/>
        <v>Indicators</v>
      </c>
      <c r="F66" t="str">
        <f>_xlfn.CONCAT(VLOOKUP(D66,tech!$A$13:$B$17,2,0),LEFT(E66,1),IF(G66="","X","Y"))</f>
        <v>4IY</v>
      </c>
      <c r="G66" t="str">
        <f>IF(IF(LEFT(C66,1)="-",C66,"")="","",REPLACE(IF(LEFT(C66,1)="-",C66,""),1,1,tech!$H$2))</f>
        <v>• available skilled resources</v>
      </c>
      <c r="H66" t="s">
        <v>495</v>
      </c>
      <c r="I66" s="492" t="s">
        <v>525</v>
      </c>
      <c r="J66" t="str">
        <f t="shared" si="65"/>
        <v>Scope and business drivers for PKI</v>
      </c>
      <c r="K66" t="str">
        <f t="shared" si="66"/>
        <v>Assessment</v>
      </c>
      <c r="L66" t="str">
        <f t="shared" si="67"/>
        <v>1.1.3.AY</v>
      </c>
      <c r="M66" t="str">
        <f>IF(AND(I66&lt;&gt;"",LEFT(I66,1)&lt;&gt;"#"),IF(LEFT(I66,1)="-",REPLACE(I66,1,1,tech!$H$2),I66),"")</f>
        <v>• Documented scope of the PKI</v>
      </c>
      <c r="N66" t="s">
        <v>495</v>
      </c>
      <c r="O66" s="492" t="s">
        <v>501</v>
      </c>
      <c r="P66" t="str">
        <f t="shared" si="68"/>
        <v>Certificate policy is documented and published</v>
      </c>
      <c r="Q66" t="str">
        <f t="shared" si="69"/>
        <v>Assessment</v>
      </c>
      <c r="R66" t="str">
        <f t="shared" si="70"/>
        <v>1.2.2.AX</v>
      </c>
      <c r="S66" t="str">
        <f>IF(AND(O66&lt;&gt;"",LEFT(O66,1)&lt;&gt;"#"),IF(LEFT(O66,1)="-",REPLACE(O66,1,1,tech!$H$2),O66),"")</f>
        <v/>
      </c>
      <c r="T66" t="s">
        <v>495</v>
      </c>
      <c r="U66" s="492"/>
      <c r="V66" t="str">
        <f t="shared" si="71"/>
        <v>A program to monitor compliance with the policies is established</v>
      </c>
      <c r="W66" t="str">
        <f t="shared" si="72"/>
        <v>References</v>
      </c>
      <c r="X66" t="str">
        <f t="shared" si="73"/>
        <v>1.3.2.RX</v>
      </c>
      <c r="Y66" t="str">
        <f>IF(AND(U66&lt;&gt;"",LEFT(U66,1)&lt;&gt;"#"),IF(LEFT(U66,1)="-",REPLACE(U66,1,1,tech!$H$2),U66),"")</f>
        <v/>
      </c>
      <c r="Z66" t="s">
        <v>495</v>
      </c>
      <c r="AA66" s="492"/>
      <c r="AB66" t="str">
        <f t="shared" si="74"/>
        <v>Recurring activities are executed on time</v>
      </c>
      <c r="AC66" t="str">
        <f t="shared" si="75"/>
        <v>Guidance</v>
      </c>
      <c r="AD66" t="str">
        <f t="shared" si="76"/>
        <v>1.4.3.GY</v>
      </c>
      <c r="AE66" t="str">
        <f>IF(AND(AA66&lt;&gt;"",LEFT(AA66,1)&lt;&gt;"#"),IF(LEFT(AA66,1)="-",REPLACE(AA66,1,1,tech!$H$2),AA66),"")</f>
        <v/>
      </c>
      <c r="AF66" t="s">
        <v>495</v>
      </c>
      <c r="AG66" s="492" t="s">
        <v>714</v>
      </c>
      <c r="AH66" t="str">
        <f t="shared" si="77"/>
        <v>Inventory of cryptographic keys is documented and maintained</v>
      </c>
      <c r="AI66" t="str">
        <f t="shared" si="78"/>
        <v>References</v>
      </c>
      <c r="AJ66" t="str">
        <f t="shared" si="79"/>
        <v>2.1.2.RY</v>
      </c>
      <c r="AK66" t="str">
        <f>IF(AND(AG66&lt;&gt;"",LEFT(AG66,1)&lt;&gt;"#"),IF(LEFT(AG66,1)="-",REPLACE(AG66,1,1,tech!$H$2),AG66),"")</f>
        <v>• [NIST SP 800-57 Recommendation for Key Management](https://csrc.nist.gov/projects/key-management/key-management-guidelines)</v>
      </c>
      <c r="AL66" t="s">
        <v>495</v>
      </c>
      <c r="AM66" s="492" t="s">
        <v>804</v>
      </c>
      <c r="AN66" t="str">
        <f t="shared" si="80"/>
        <v>Certificate cipher suites are documented</v>
      </c>
      <c r="AO66" t="str">
        <f t="shared" si="81"/>
        <v>References</v>
      </c>
      <c r="AP66" t="str">
        <f t="shared" si="82"/>
        <v>2.2.2.RY</v>
      </c>
      <c r="AQ66" t="str">
        <f>IF(AND(AM66&lt;&gt;"",LEFT(AM66,1)&lt;&gt;"#"),IF(LEFT(AM66,1)="-",REPLACE(AM66,1,1,tech!$H$2),AM66),"")</f>
        <v>* [SOG-IS crypto algorithms](https://www.sogis.eu/uk/supporting_doc_en.html)</v>
      </c>
      <c r="AR66" t="s">
        <v>495</v>
      </c>
      <c r="AS66" s="492" t="s">
        <v>929</v>
      </c>
      <c r="AT66" t="str">
        <f t="shared" si="83"/>
        <v>Separation and segmentation principles are applied</v>
      </c>
      <c r="AU66" t="str">
        <f t="shared" si="84"/>
        <v>Assessment</v>
      </c>
      <c r="AV66" t="str">
        <f t="shared" si="85"/>
        <v>2.3.2.AY</v>
      </c>
      <c r="AW66" t="str">
        <f>IF(AND(AS66&lt;&gt;"",LEFT(AS66,1)&lt;&gt;"#"),IF(LEFT(AS66,1)="-",REPLACE(AS66,1,1,tech!$H$2),AS66),"")</f>
        <v>• implementation of network isolation</v>
      </c>
      <c r="AX66" t="s">
        <v>495</v>
      </c>
      <c r="AY66" s="492" t="s">
        <v>998</v>
      </c>
      <c r="AZ66" t="str">
        <f t="shared" si="86"/>
        <v>Request for change structure is documented and followed</v>
      </c>
      <c r="BA66" t="str">
        <f t="shared" si="87"/>
        <v>Guidance</v>
      </c>
      <c r="BB66" t="str">
        <f t="shared" si="88"/>
        <v>2.4.2.GY</v>
      </c>
      <c r="BC66" t="str">
        <f>IF(AND(AY66&lt;&gt;"",LEFT(AY66,1)&lt;&gt;"#"),IF(LEFT(AY66,1)="-",REPLACE(AY66,1,1,tech!$H$2),AY66),"")</f>
        <v>• testing requirements</v>
      </c>
      <c r="BD66" t="s">
        <v>495</v>
      </c>
      <c r="BE66" s="492" t="s">
        <v>1029</v>
      </c>
      <c r="BF66" t="str">
        <f t="shared" si="89"/>
        <v>Cyber-security management and incident planning</v>
      </c>
      <c r="BG66" t="str">
        <f t="shared" si="90"/>
        <v>References</v>
      </c>
      <c r="BH66" t="str">
        <f t="shared" si="91"/>
        <v>3.1.2.RY</v>
      </c>
      <c r="BI66" t="str">
        <f>IF(AND(BE66&lt;&gt;"",LEFT(BE66,1)&lt;&gt;"#"),IF(LEFT(BE66,1)="-",REPLACE(BE66,1,1,tech!$H$2),BE66),"")</f>
        <v>• [SANS Guide to Security Operations](https://www.sans.org/posters/guide-to-security-operations/)</v>
      </c>
      <c r="BJ66" t="s">
        <v>495</v>
      </c>
      <c r="BK66" s="492"/>
      <c r="BL66" t="str">
        <f t="shared" si="92"/>
        <v>Documented integration guidance</v>
      </c>
      <c r="BM66" t="str">
        <f t="shared" si="93"/>
        <v>References</v>
      </c>
      <c r="BN66" t="str">
        <f t="shared" si="94"/>
        <v>3.2.2.RX</v>
      </c>
      <c r="BO66" t="str">
        <f>IF(AND(BK66&lt;&gt;"",LEFT(BK66,1)&lt;&gt;"#"),IF(LEFT(BK66,1)="-",REPLACE(BK66,1,1,tech!$H$2),BK66),"")</f>
        <v/>
      </c>
      <c r="BP66" t="s">
        <v>495</v>
      </c>
      <c r="BQ66" s="492"/>
      <c r="BR66" t="str">
        <f t="shared" si="95"/>
        <v>Event logs from systems are collected</v>
      </c>
      <c r="BS66" t="str">
        <f t="shared" si="96"/>
        <v>Assessment</v>
      </c>
      <c r="BT66" t="str">
        <f t="shared" si="97"/>
        <v>3.3.2.AX</v>
      </c>
      <c r="BU66" t="str">
        <f>IF(AND(BQ66&lt;&gt;"",LEFT(BQ66,1)&lt;&gt;"#"),IF(LEFT(BQ66,1)="-",REPLACE(BQ66,1,1,tech!$H$2),BQ66),"")</f>
        <v/>
      </c>
      <c r="BV66" t="s">
        <v>495</v>
      </c>
      <c r="BW66" s="492"/>
      <c r="BX66" t="str">
        <f t="shared" si="98"/>
        <v>Monitoring and auditing of automated process</v>
      </c>
      <c r="BY66" t="str">
        <f t="shared" si="99"/>
        <v>References</v>
      </c>
      <c r="BZ66" t="str">
        <f t="shared" si="100"/>
        <v>3.4.2.RX</v>
      </c>
      <c r="CA66" t="str">
        <f>IF(AND(BW66&lt;&gt;"",LEFT(BW66,1)&lt;&gt;"#"),IF(LEFT(BW66,1)="-",REPLACE(BW66,1,1,tech!$H$2),BW66),"")</f>
        <v/>
      </c>
      <c r="CB66" t="s">
        <v>495</v>
      </c>
      <c r="CC66" s="492" t="s">
        <v>16</v>
      </c>
      <c r="CD66" t="str">
        <f t="shared" si="101"/>
        <v>Availability of resources</v>
      </c>
      <c r="CE66" t="str">
        <f t="shared" si="102"/>
        <v>Guidance</v>
      </c>
      <c r="CF66" t="str">
        <f t="shared" si="103"/>
        <v>4.1.3.GY</v>
      </c>
      <c r="CG66" t="str">
        <f>IF(AND(CC66&lt;&gt;"",LEFT(CC66,1)&lt;&gt;"#"),IF(LEFT(CC66,1)="-",REPLACE(CC66,1,1,tech!$H$2),CC66),"")</f>
        <v>Identified and defined resources should be available at the required capacity. The availability of the resources should be aligned with the overall strategy of the organization and scope of the PKI. The availability of the resources should be controlled to ensure that the resources are available when needed.</v>
      </c>
      <c r="CH66" t="s">
        <v>495</v>
      </c>
      <c r="CI66" s="492"/>
      <c r="CJ66" t="str">
        <f t="shared" si="104"/>
        <v>Responsible personnel receive training</v>
      </c>
      <c r="CK66" t="str">
        <f t="shared" si="105"/>
        <v>Guidance</v>
      </c>
      <c r="CL66" t="str">
        <f t="shared" si="106"/>
        <v>4.2.2.GX</v>
      </c>
      <c r="CM66" t="str">
        <f>IF(AND(CI66&lt;&gt;"",LEFT(CI66,1)&lt;&gt;"#"),IF(LEFT(CI66,1)="-",REPLACE(CI66,1,1,tech!$H$2),CI66),"")</f>
        <v/>
      </c>
      <c r="CN66" t="s">
        <v>495</v>
      </c>
      <c r="CO66" s="492" t="s">
        <v>1391</v>
      </c>
      <c r="CP66" t="str">
        <f t="shared" si="107"/>
        <v>Disclose PKI information</v>
      </c>
      <c r="CQ66" t="str">
        <f t="shared" si="108"/>
        <v>Assessment</v>
      </c>
      <c r="CR66" t="str">
        <f t="shared" si="109"/>
        <v>4.3.2.AY</v>
      </c>
      <c r="CS66" t="str">
        <f>IF(AND(CO66&lt;&gt;"",LEFT(CO66,1)&lt;&gt;"#"),IF(LEFT(CO66,1)="-",REPLACE(CO66,1,1,tech!$H$2),CO66),"")</f>
        <v>• Review disclosure Statement content to ensure that it is contains relevant information</v>
      </c>
      <c r="CT66" t="s">
        <v>495</v>
      </c>
    </row>
    <row r="67" spans="3:98" x14ac:dyDescent="0.25">
      <c r="C67" s="492" t="s">
        <v>473</v>
      </c>
      <c r="D67" t="str">
        <f t="shared" si="64"/>
        <v>Managed</v>
      </c>
      <c r="E67" t="str">
        <f t="shared" si="110"/>
        <v>Indicators</v>
      </c>
      <c r="F67" t="str">
        <f>_xlfn.CONCAT(VLOOKUP(D67,tech!$A$13:$B$17,2,0),LEFT(E67,1),IF(G67="","X","Y"))</f>
        <v>4IY</v>
      </c>
      <c r="G67" t="str">
        <f>IF(IF(LEFT(C67,1)="-",C67,"")="","",REPLACE(IF(LEFT(C67,1)="-",C67,""),1,1,tech!$H$2))</f>
        <v>• Documented processes and procedures to manage certificates and related keys</v>
      </c>
      <c r="H67" t="s">
        <v>495</v>
      </c>
      <c r="I67" s="492" t="s">
        <v>526</v>
      </c>
      <c r="J67" t="str">
        <f t="shared" si="65"/>
        <v>Scope and business drivers for PKI</v>
      </c>
      <c r="K67" t="str">
        <f t="shared" si="66"/>
        <v>Assessment</v>
      </c>
      <c r="L67" t="str">
        <f t="shared" si="67"/>
        <v>1.1.3.AY</v>
      </c>
      <c r="M67" t="str">
        <f>IF(AND(I67&lt;&gt;"",LEFT(I67,1)&lt;&gt;"#"),IF(LEFT(I67,1)="-",REPLACE(I67,1,1,tech!$H$2),I67),"")</f>
        <v>• Documented business drivers</v>
      </c>
      <c r="N67" t="s">
        <v>495</v>
      </c>
      <c r="O67" s="492"/>
      <c r="P67" t="str">
        <f t="shared" si="68"/>
        <v>Certificate policy is documented and published</v>
      </c>
      <c r="Q67" t="str">
        <f t="shared" si="69"/>
        <v>Assessment</v>
      </c>
      <c r="R67" t="str">
        <f t="shared" si="70"/>
        <v>1.2.2.AX</v>
      </c>
      <c r="S67" t="str">
        <f>IF(AND(O67&lt;&gt;"",LEFT(O67,1)&lt;&gt;"#"),IF(LEFT(O67,1)="-",REPLACE(O67,1,1,tech!$H$2),O67),"")</f>
        <v/>
      </c>
      <c r="T67" t="s">
        <v>495</v>
      </c>
      <c r="U67" s="492" t="s">
        <v>634</v>
      </c>
      <c r="V67" t="str">
        <f t="shared" si="71"/>
        <v>Responsibilities for the compliance are formally defined and assigned</v>
      </c>
      <c r="W67" t="str">
        <f t="shared" si="72"/>
        <v>References</v>
      </c>
      <c r="X67" t="str">
        <f t="shared" si="73"/>
        <v>1.3.3.RX</v>
      </c>
      <c r="Y67" t="str">
        <f>IF(AND(U67&lt;&gt;"",LEFT(U67,1)&lt;&gt;"#"),IF(LEFT(U67,1)="-",REPLACE(U67,1,1,tech!$H$2),U67),"")</f>
        <v/>
      </c>
      <c r="Z67" t="s">
        <v>495</v>
      </c>
      <c r="AA67" s="492" t="s">
        <v>671</v>
      </c>
      <c r="AB67" t="str">
        <f t="shared" si="74"/>
        <v>Recurring activities are executed on time</v>
      </c>
      <c r="AC67" t="str">
        <f t="shared" si="75"/>
        <v>Guidance</v>
      </c>
      <c r="AD67" t="str">
        <f t="shared" si="76"/>
        <v>1.4.3.GY</v>
      </c>
      <c r="AE67" t="str">
        <f>IF(AND(AA67&lt;&gt;"",LEFT(AA67,1)&lt;&gt;"#"),IF(LEFT(AA67,1)="-",REPLACE(AA67,1,1,tech!$H$2),AA67),"")</f>
        <v>Each activity should be tracked and have a frequency defined, for example, some activities may be performed daily, weekly, monthly, quarterly, or yearly. The activities should be performed on time, and any delays should be properly tracked and reported.</v>
      </c>
      <c r="AF67" t="s">
        <v>495</v>
      </c>
      <c r="AG67" s="492" t="s">
        <v>715</v>
      </c>
      <c r="AH67" t="str">
        <f t="shared" si="77"/>
        <v>Inventory of cryptographic keys is documented and maintained</v>
      </c>
      <c r="AI67" t="str">
        <f t="shared" si="78"/>
        <v>References</v>
      </c>
      <c r="AJ67" t="str">
        <f t="shared" si="79"/>
        <v>2.1.2.RY</v>
      </c>
      <c r="AK67" t="str">
        <f>IF(AND(AG67&lt;&gt;"",LEFT(AG67,1)&lt;&gt;"#"),IF(LEFT(AG67,1)="-",REPLACE(AG67,1,1,tech!$H$2),AG67),"")</f>
        <v>• [ISO/IEC 11770 Key Management](https://www.iso.org/standard/53456.html)</v>
      </c>
      <c r="AL67" t="s">
        <v>495</v>
      </c>
      <c r="AM67" s="492" t="s">
        <v>805</v>
      </c>
      <c r="AN67" t="str">
        <f t="shared" si="80"/>
        <v>Certificate cipher suites are documented</v>
      </c>
      <c r="AO67" t="str">
        <f t="shared" si="81"/>
        <v>References</v>
      </c>
      <c r="AP67" t="str">
        <f t="shared" si="82"/>
        <v>2.2.2.RY</v>
      </c>
      <c r="AQ67" t="str">
        <f>IF(AND(AM67&lt;&gt;"",LEFT(AM67,1)&lt;&gt;"#"),IF(LEFT(AM67,1)="-",REPLACE(AM67,1,1,tech!$H$2),AM67),"")</f>
        <v>* NIST [Suite B](https://apps.nsa.gov/iaarchive/programs/iad-initiatives/cnsa-suite.cfm)</v>
      </c>
      <c r="AR67" t="s">
        <v>495</v>
      </c>
      <c r="AS67" s="492" t="s">
        <v>930</v>
      </c>
      <c r="AT67" t="str">
        <f t="shared" si="83"/>
        <v>Separation and segmentation principles are applied</v>
      </c>
      <c r="AU67" t="str">
        <f t="shared" si="84"/>
        <v>Assessment</v>
      </c>
      <c r="AV67" t="str">
        <f t="shared" si="85"/>
        <v>2.3.2.AY</v>
      </c>
      <c r="AW67" t="str">
        <f>IF(AND(AS67&lt;&gt;"",LEFT(AS67,1)&lt;&gt;"#"),IF(LEFT(AS67,1)="-",REPLACE(AS67,1,1,tech!$H$2),AS67),"")</f>
        <v>• Separation of production and testing environments</v>
      </c>
      <c r="AX67" t="s">
        <v>495</v>
      </c>
      <c r="AY67" s="492" t="s">
        <v>984</v>
      </c>
      <c r="AZ67" t="str">
        <f t="shared" si="86"/>
        <v>Request for change structure is documented and followed</v>
      </c>
      <c r="BA67" t="str">
        <f t="shared" si="87"/>
        <v>Guidance</v>
      </c>
      <c r="BB67" t="str">
        <f t="shared" si="88"/>
        <v>2.4.2.GY</v>
      </c>
      <c r="BC67" t="str">
        <f>IF(AND(AY67&lt;&gt;"",LEFT(AY67,1)&lt;&gt;"#"),IF(LEFT(AY67,1)="-",REPLACE(AY67,1,1,tech!$H$2),AY67),"")</f>
        <v>• and other relevant information</v>
      </c>
      <c r="BD67" t="s">
        <v>495</v>
      </c>
      <c r="BE67" s="492"/>
      <c r="BF67" t="str">
        <f t="shared" si="89"/>
        <v>Cyber-security management and incident planning</v>
      </c>
      <c r="BG67" t="str">
        <f t="shared" si="90"/>
        <v>References</v>
      </c>
      <c r="BH67" t="str">
        <f t="shared" si="91"/>
        <v>3.1.2.RX</v>
      </c>
      <c r="BI67" t="str">
        <f>IF(AND(BE67&lt;&gt;"",LEFT(BE67,1)&lt;&gt;"#"),IF(LEFT(BE67,1)="-",REPLACE(BE67,1,1,tech!$H$2),BE67),"")</f>
        <v/>
      </c>
      <c r="BJ67" t="s">
        <v>495</v>
      </c>
      <c r="BK67" s="492" t="s">
        <v>513</v>
      </c>
      <c r="BL67" t="str">
        <f t="shared" si="92"/>
        <v>Documented integration guidance</v>
      </c>
      <c r="BM67" t="str">
        <f t="shared" si="93"/>
        <v>References</v>
      </c>
      <c r="BN67" t="str">
        <f t="shared" si="94"/>
        <v>3.2.2.RY</v>
      </c>
      <c r="BO67" t="str">
        <f>IF(AND(BK67&lt;&gt;"",LEFT(BK67,1)&lt;&gt;"#"),IF(LEFT(BK67,1)="-",REPLACE(BK67,1,1,tech!$H$2),BK67),"")</f>
        <v>• [The Open Group Architecture Framework (TOGAF)](https://www.opengroup.org/togaf)</v>
      </c>
      <c r="BP67" t="s">
        <v>495</v>
      </c>
      <c r="BQ67" s="492" t="s">
        <v>1187</v>
      </c>
      <c r="BR67" t="str">
        <f t="shared" si="95"/>
        <v>Event logs from systems are collected</v>
      </c>
      <c r="BS67" t="str">
        <f t="shared" si="96"/>
        <v>Assessment</v>
      </c>
      <c r="BT67" t="str">
        <f t="shared" si="97"/>
        <v>3.3.2.AY</v>
      </c>
      <c r="BU67" t="str">
        <f>IF(AND(BQ67&lt;&gt;"",LEFT(BQ67,1)&lt;&gt;"#"),IF(LEFT(BQ67,1)="-",REPLACE(BQ67,1,1,tech!$H$2),BQ67),"")</f>
        <v>• logs are collected from systems</v>
      </c>
      <c r="BV67" t="s">
        <v>495</v>
      </c>
      <c r="BW67" s="492" t="s">
        <v>55</v>
      </c>
      <c r="BX67" t="str">
        <f t="shared" si="98"/>
        <v>Monitoring and auditing of automated process</v>
      </c>
      <c r="BY67" t="str">
        <f t="shared" si="99"/>
        <v>References</v>
      </c>
      <c r="BZ67" t="str">
        <f t="shared" si="100"/>
        <v>3.4.2.RY</v>
      </c>
      <c r="CA67" t="str">
        <f>IF(AND(BW67&lt;&gt;"",LEFT(BW67,1)&lt;&gt;"#"),IF(LEFT(BW67,1)="-",REPLACE(BW67,1,1,tech!$H$2),BW67),"")</f>
        <v>N/A</v>
      </c>
      <c r="CB67" t="s">
        <v>495</v>
      </c>
      <c r="CC67" s="492"/>
      <c r="CD67" t="str">
        <f t="shared" si="101"/>
        <v>Availability of resources</v>
      </c>
      <c r="CE67" t="str">
        <f t="shared" si="102"/>
        <v>Guidance</v>
      </c>
      <c r="CF67" t="str">
        <f t="shared" si="103"/>
        <v>4.1.3.GX</v>
      </c>
      <c r="CG67" t="str">
        <f>IF(AND(CC67&lt;&gt;"",LEFT(CC67,1)&lt;&gt;"#"),IF(LEFT(CC67,1)="-",REPLACE(CC67,1,1,tech!$H$2),CC67),"")</f>
        <v/>
      </c>
      <c r="CH67" t="s">
        <v>495</v>
      </c>
      <c r="CI67" s="492" t="s">
        <v>501</v>
      </c>
      <c r="CJ67" t="str">
        <f t="shared" si="104"/>
        <v>Responsible personnel receive training</v>
      </c>
      <c r="CK67" t="str">
        <f t="shared" si="105"/>
        <v>Assessment</v>
      </c>
      <c r="CL67" t="str">
        <f t="shared" si="106"/>
        <v>4.2.2.AX</v>
      </c>
      <c r="CM67" t="str">
        <f>IF(AND(CI67&lt;&gt;"",LEFT(CI67,1)&lt;&gt;"#"),IF(LEFT(CI67,1)="-",REPLACE(CI67,1,1,tech!$H$2),CI67),"")</f>
        <v/>
      </c>
      <c r="CN67" t="s">
        <v>495</v>
      </c>
      <c r="CO67" s="492" t="s">
        <v>1392</v>
      </c>
      <c r="CP67" t="str">
        <f t="shared" si="107"/>
        <v>Disclose PKI information</v>
      </c>
      <c r="CQ67" t="str">
        <f t="shared" si="108"/>
        <v>Assessment</v>
      </c>
      <c r="CR67" t="str">
        <f t="shared" si="109"/>
        <v>4.3.2.AY</v>
      </c>
      <c r="CS67" t="str">
        <f>IF(AND(CO67&lt;&gt;"",LEFT(CO67,1)&lt;&gt;"#"),IF(LEFT(CO67,1)="-",REPLACE(CO67,1,1,tech!$H$2),CO67),"")</f>
        <v>• disclosure Statement is approved and communicated to all PKI participants</v>
      </c>
      <c r="CT67" t="s">
        <v>495</v>
      </c>
    </row>
    <row r="68" spans="3:98" x14ac:dyDescent="0.25">
      <c r="C68" s="492" t="s">
        <v>474</v>
      </c>
      <c r="D68" t="str">
        <f t="shared" si="64"/>
        <v>Managed</v>
      </c>
      <c r="E68" t="str">
        <f t="shared" si="110"/>
        <v>Indicators</v>
      </c>
      <c r="F68" t="str">
        <f>_xlfn.CONCAT(VLOOKUP(D68,tech!$A$13:$B$17,2,0),LEFT(E68,1),IF(G68="","X","Y"))</f>
        <v>4IY</v>
      </c>
      <c r="G68" t="str">
        <f>IF(IF(LEFT(C68,1)="-",C68,"")="","",REPLACE(IF(LEFT(C68,1)="-",C68,""),1,1,tech!$H$2))</f>
        <v>• Inconsistent approach to certificate related activities</v>
      </c>
      <c r="H68" t="s">
        <v>495</v>
      </c>
      <c r="I68" s="492" t="s">
        <v>527</v>
      </c>
      <c r="J68" t="str">
        <f t="shared" si="65"/>
        <v>Scope and business drivers for PKI</v>
      </c>
      <c r="K68" t="str">
        <f t="shared" si="66"/>
        <v>Assessment</v>
      </c>
      <c r="L68" t="str">
        <f t="shared" si="67"/>
        <v>1.1.3.AY</v>
      </c>
      <c r="M68" t="str">
        <f>IF(AND(I68&lt;&gt;"",LEFT(I68,1)&lt;&gt;"#"),IF(LEFT(I68,1)="-",REPLACE(I68,1,1,tech!$H$2),I68),"")</f>
        <v>• Documented use-cases</v>
      </c>
      <c r="N68" t="s">
        <v>495</v>
      </c>
      <c r="O68" s="492" t="s">
        <v>577</v>
      </c>
      <c r="P68" t="str">
        <f t="shared" si="68"/>
        <v>Certificate policy is documented and published</v>
      </c>
      <c r="Q68" t="str">
        <f t="shared" si="69"/>
        <v>Assessment</v>
      </c>
      <c r="R68" t="str">
        <f t="shared" si="70"/>
        <v>1.2.2.AY</v>
      </c>
      <c r="S68" t="str">
        <f>IF(AND(O68&lt;&gt;"",LEFT(O68,1)&lt;&gt;"#"),IF(LEFT(O68,1)="-",REPLACE(O68,1,1,tech!$H$2),O68),"")</f>
        <v>• the CP is properly Documented in its full scope</v>
      </c>
      <c r="T68" t="s">
        <v>495</v>
      </c>
      <c r="U68" s="492"/>
      <c r="V68" t="str">
        <f t="shared" si="71"/>
        <v>Responsibilities for the compliance are formally defined and assigned</v>
      </c>
      <c r="W68" t="str">
        <f t="shared" si="72"/>
        <v>References</v>
      </c>
      <c r="X68" t="str">
        <f t="shared" si="73"/>
        <v>1.3.3.RX</v>
      </c>
      <c r="Y68" t="str">
        <f>IF(AND(U68&lt;&gt;"",LEFT(U68,1)&lt;&gt;"#"),IF(LEFT(U68,1)="-",REPLACE(U68,1,1,tech!$H$2),U68),"")</f>
        <v/>
      </c>
      <c r="Z68" t="s">
        <v>495</v>
      </c>
      <c r="AA68" s="492"/>
      <c r="AB68" t="str">
        <f t="shared" si="74"/>
        <v>Recurring activities are executed on time</v>
      </c>
      <c r="AC68" t="str">
        <f t="shared" si="75"/>
        <v>Guidance</v>
      </c>
      <c r="AD68" t="str">
        <f t="shared" si="76"/>
        <v>1.4.3.GY</v>
      </c>
      <c r="AE68" t="str">
        <f>IF(AND(AA68&lt;&gt;"",LEFT(AA68,1)&lt;&gt;"#"),IF(LEFT(AA68,1)="-",REPLACE(AA68,1,1,tech!$H$2),AA68),"")</f>
        <v/>
      </c>
      <c r="AF68" t="s">
        <v>495</v>
      </c>
      <c r="AG68" s="492"/>
      <c r="AH68" t="str">
        <f t="shared" si="77"/>
        <v>Inventory of cryptographic keys is documented and maintained</v>
      </c>
      <c r="AI68" t="str">
        <f t="shared" si="78"/>
        <v>References</v>
      </c>
      <c r="AJ68" t="str">
        <f t="shared" si="79"/>
        <v>2.1.2.RX</v>
      </c>
      <c r="AK68" t="str">
        <f>IF(AND(AG68&lt;&gt;"",LEFT(AG68,1)&lt;&gt;"#"),IF(LEFT(AG68,1)="-",REPLACE(AG68,1,1,tech!$H$2),AG68),"")</f>
        <v/>
      </c>
      <c r="AL68" t="s">
        <v>495</v>
      </c>
      <c r="AM68" s="492" t="s">
        <v>806</v>
      </c>
      <c r="AN68" t="str">
        <f t="shared" si="80"/>
        <v>Certificate cipher suites are documented</v>
      </c>
      <c r="AO68" t="str">
        <f t="shared" si="81"/>
        <v>References</v>
      </c>
      <c r="AP68" t="str">
        <f t="shared" si="82"/>
        <v>2.2.2.RY</v>
      </c>
      <c r="AQ68" t="str">
        <f>IF(AND(AM68&lt;&gt;"",LEFT(AM68,1)&lt;&gt;"#"),IF(LEFT(AM68,1)="-",REPLACE(AM68,1,1,tech!$H$2),AM68),"")</f>
        <v>* NIST approved algorithms [CNSA 2.0](https://media.defense.gov/2022/Sep/07/2003071834/-1/-1/0/CSA_CNSA_2.0_ALGORITHMS_.PDF)</v>
      </c>
      <c r="AR68" t="s">
        <v>495</v>
      </c>
      <c r="AS68" s="492" t="s">
        <v>931</v>
      </c>
      <c r="AT68" t="str">
        <f t="shared" si="83"/>
        <v>Separation and segmentation principles are applied</v>
      </c>
      <c r="AU68" t="str">
        <f t="shared" si="84"/>
        <v>Assessment</v>
      </c>
      <c r="AV68" t="str">
        <f t="shared" si="85"/>
        <v>2.3.2.AY</v>
      </c>
      <c r="AW68" t="str">
        <f>IF(AND(AS68&lt;&gt;"",LEFT(AS68,1)&lt;&gt;"#"),IF(LEFT(AS68,1)="-",REPLACE(AS68,1,1,tech!$H$2),AS68),"")</f>
        <v>• Sample data</v>
      </c>
      <c r="AX68" t="s">
        <v>495</v>
      </c>
      <c r="AY68" s="492"/>
      <c r="AZ68" t="str">
        <f t="shared" si="86"/>
        <v>Request for change structure is documented and followed</v>
      </c>
      <c r="BA68" t="str">
        <f t="shared" si="87"/>
        <v>Guidance</v>
      </c>
      <c r="BB68" t="str">
        <f t="shared" si="88"/>
        <v>2.4.2.GX</v>
      </c>
      <c r="BC68" t="str">
        <f>IF(AND(AY68&lt;&gt;"",LEFT(AY68,1)&lt;&gt;"#"),IF(LEFT(AY68,1)="-",REPLACE(AY68,1,1,tech!$H$2),AY68),"")</f>
        <v/>
      </c>
      <c r="BD68" t="s">
        <v>495</v>
      </c>
      <c r="BE68" s="492" t="s">
        <v>1030</v>
      </c>
      <c r="BF68" t="str">
        <f t="shared" si="89"/>
        <v>Business continuity planning and disaster recovery</v>
      </c>
      <c r="BG68" t="str">
        <f t="shared" si="90"/>
        <v>References</v>
      </c>
      <c r="BH68" t="str">
        <f t="shared" si="91"/>
        <v>3.1.3.RX</v>
      </c>
      <c r="BI68" t="str">
        <f>IF(AND(BE68&lt;&gt;"",LEFT(BE68,1)&lt;&gt;"#"),IF(LEFT(BE68,1)="-",REPLACE(BE68,1,1,tech!$H$2),BE68),"")</f>
        <v/>
      </c>
      <c r="BJ68" t="s">
        <v>495</v>
      </c>
      <c r="BK68" s="492" t="s">
        <v>1130</v>
      </c>
      <c r="BL68" t="str">
        <f t="shared" si="92"/>
        <v>Documented integration guidance</v>
      </c>
      <c r="BM68" t="str">
        <f t="shared" si="93"/>
        <v>References</v>
      </c>
      <c r="BN68" t="str">
        <f t="shared" si="94"/>
        <v>3.2.2.RY</v>
      </c>
      <c r="BO68" t="str">
        <f>IF(AND(BK68&lt;&gt;"",LEFT(BK68,1)&lt;&gt;"#"),IF(LEFT(BK68,1)="-",REPLACE(BK68,1,1,tech!$H$2),BK68),"")</f>
        <v>• Integration instructions provided by the vendors</v>
      </c>
      <c r="BP68" t="s">
        <v>495</v>
      </c>
      <c r="BQ68" s="492" t="s">
        <v>1188</v>
      </c>
      <c r="BR68" t="str">
        <f t="shared" si="95"/>
        <v>Event logs from systems are collected</v>
      </c>
      <c r="BS68" t="str">
        <f t="shared" si="96"/>
        <v>Assessment</v>
      </c>
      <c r="BT68" t="str">
        <f t="shared" si="97"/>
        <v>3.3.2.AY</v>
      </c>
      <c r="BU68" t="str">
        <f>IF(AND(BQ68&lt;&gt;"",LEFT(BQ68,1)&lt;&gt;"#"),IF(LEFT(BQ68,1)="-",REPLACE(BQ68,1,1,tech!$H$2),BQ68),"")</f>
        <v>• logs have a consistent format and can be further processed and analyzed</v>
      </c>
      <c r="BV68" t="s">
        <v>495</v>
      </c>
      <c r="BW68" s="492"/>
      <c r="BX68" t="str">
        <f t="shared" si="98"/>
        <v>Monitoring and auditing of automated process</v>
      </c>
      <c r="BY68" t="str">
        <f t="shared" si="99"/>
        <v>References</v>
      </c>
      <c r="BZ68" t="str">
        <f t="shared" si="100"/>
        <v>3.4.2.RX</v>
      </c>
      <c r="CA68" t="str">
        <f>IF(AND(BW68&lt;&gt;"",LEFT(BW68,1)&lt;&gt;"#"),IF(LEFT(BW68,1)="-",REPLACE(BW68,1,1,tech!$H$2),BW68),"")</f>
        <v/>
      </c>
      <c r="CB68" t="s">
        <v>495</v>
      </c>
      <c r="CC68" s="492" t="s">
        <v>501</v>
      </c>
      <c r="CD68" t="str">
        <f t="shared" si="101"/>
        <v>Availability of resources</v>
      </c>
      <c r="CE68" t="str">
        <f t="shared" si="102"/>
        <v>Assessment</v>
      </c>
      <c r="CF68" t="str">
        <f t="shared" si="103"/>
        <v>4.1.3.AX</v>
      </c>
      <c r="CG68" t="str">
        <f>IF(AND(CC68&lt;&gt;"",LEFT(CC68,1)&lt;&gt;"#"),IF(LEFT(CC68,1)="-",REPLACE(CC68,1,1,tech!$H$2),CC68),"")</f>
        <v/>
      </c>
      <c r="CH68" t="s">
        <v>495</v>
      </c>
      <c r="CI68" s="492"/>
      <c r="CJ68" t="str">
        <f t="shared" si="104"/>
        <v>Responsible personnel receive training</v>
      </c>
      <c r="CK68" t="str">
        <f t="shared" si="105"/>
        <v>Assessment</v>
      </c>
      <c r="CL68" t="str">
        <f t="shared" si="106"/>
        <v>4.2.2.AX</v>
      </c>
      <c r="CM68" t="str">
        <f>IF(AND(CI68&lt;&gt;"",LEFT(CI68,1)&lt;&gt;"#"),IF(LEFT(CI68,1)="-",REPLACE(CI68,1,1,tech!$H$2),CI68),"")</f>
        <v/>
      </c>
      <c r="CN68" t="s">
        <v>495</v>
      </c>
      <c r="CO68" s="492" t="s">
        <v>1393</v>
      </c>
      <c r="CP68" t="str">
        <f t="shared" si="107"/>
        <v>Disclose PKI information</v>
      </c>
      <c r="CQ68" t="str">
        <f t="shared" si="108"/>
        <v>Assessment</v>
      </c>
      <c r="CR68" t="str">
        <f t="shared" si="109"/>
        <v>4.3.2.AY</v>
      </c>
      <c r="CS68" t="str">
        <f>IF(AND(CO68&lt;&gt;"",LEFT(CO68,1)&lt;&gt;"#"),IF(LEFT(CO68,1)="-",REPLACE(CO68,1,1,tech!$H$2),CO68),"")</f>
        <v>• information is available to all PKI participants</v>
      </c>
      <c r="CT68" t="s">
        <v>495</v>
      </c>
    </row>
    <row r="69" spans="3:98" x14ac:dyDescent="0.25">
      <c r="C69" s="492"/>
      <c r="D69" t="str">
        <f t="shared" si="64"/>
        <v>Managed</v>
      </c>
      <c r="E69" t="str">
        <f t="shared" si="110"/>
        <v>Indicators</v>
      </c>
      <c r="F69" t="str">
        <f>_xlfn.CONCAT(VLOOKUP(D69,tech!$A$13:$B$17,2,0),LEFT(E69,1),IF(G69="","X","Y"))</f>
        <v>4IX</v>
      </c>
      <c r="G69" t="str">
        <f>IF(IF(LEFT(C69,1)="-",C69,"")="","",REPLACE(IF(LEFT(C69,1)="-",C69,""),1,1,tech!$H$2))</f>
        <v/>
      </c>
      <c r="H69" t="s">
        <v>495</v>
      </c>
      <c r="I69" s="492" t="s">
        <v>528</v>
      </c>
      <c r="J69" t="str">
        <f t="shared" si="65"/>
        <v>Scope and business drivers for PKI</v>
      </c>
      <c r="K69" t="str">
        <f t="shared" si="66"/>
        <v>Assessment</v>
      </c>
      <c r="L69" t="str">
        <f t="shared" si="67"/>
        <v>1.1.3.AY</v>
      </c>
      <c r="M69" t="str">
        <f>IF(AND(I69&lt;&gt;"",LEFT(I69,1)&lt;&gt;"#"),IF(LEFT(I69,1)="-",REPLACE(I69,1,1,tech!$H$2),I69),"")</f>
        <v>• Documented alignment with the organizational goals</v>
      </c>
      <c r="N69" t="s">
        <v>495</v>
      </c>
      <c r="O69" s="492" t="s">
        <v>556</v>
      </c>
      <c r="P69" t="str">
        <f t="shared" si="68"/>
        <v>Certificate policy is documented and published</v>
      </c>
      <c r="Q69" t="str">
        <f t="shared" si="69"/>
        <v>Assessment</v>
      </c>
      <c r="R69" t="str">
        <f t="shared" si="70"/>
        <v>1.2.2.AY</v>
      </c>
      <c r="S69" t="str">
        <f>IF(AND(O69&lt;&gt;"",LEFT(O69,1)&lt;&gt;"#"),IF(LEFT(O69,1)="-",REPLACE(O69,1,1,tech!$H$2),O69),"")</f>
        <v>• The CP clearly defines the scope of the policy, such as the purpose of the security and assurance levels, the type and use of its certificates and parties involved</v>
      </c>
      <c r="T69" t="s">
        <v>495</v>
      </c>
      <c r="U69" s="492" t="s">
        <v>498</v>
      </c>
      <c r="V69" t="str">
        <f t="shared" si="71"/>
        <v>Responsibilities for the compliance are formally defined and assigned</v>
      </c>
      <c r="W69" t="str">
        <f t="shared" si="72"/>
        <v>Guidance</v>
      </c>
      <c r="X69" t="str">
        <f t="shared" si="73"/>
        <v>1.3.3.GX</v>
      </c>
      <c r="Y69" t="str">
        <f>IF(AND(U69&lt;&gt;"",LEFT(U69,1)&lt;&gt;"#"),IF(LEFT(U69,1)="-",REPLACE(U69,1,1,tech!$H$2),U69),"")</f>
        <v/>
      </c>
      <c r="Z69" t="s">
        <v>495</v>
      </c>
      <c r="AA69" s="492" t="s">
        <v>672</v>
      </c>
      <c r="AB69" t="str">
        <f t="shared" si="74"/>
        <v>Recurring activities are executed on time</v>
      </c>
      <c r="AC69" t="str">
        <f t="shared" si="75"/>
        <v>Guidance</v>
      </c>
      <c r="AD69" t="str">
        <f t="shared" si="76"/>
        <v>1.4.3.GY</v>
      </c>
      <c r="AE69" t="str">
        <f>IF(AND(AA69&lt;&gt;"",LEFT(AA69,1)&lt;&gt;"#"),IF(LEFT(AA69,1)="-",REPLACE(AA69,1,1,tech!$H$2),AA69),"")</f>
        <v>Recurring activities needs to be incorporated into the processes and procedures to support the PKI implementation.</v>
      </c>
      <c r="AF69" t="s">
        <v>495</v>
      </c>
      <c r="AG69" s="492" t="s">
        <v>716</v>
      </c>
      <c r="AH69" t="str">
        <f t="shared" si="77"/>
        <v>Inventory of cryptographic devices is documented and maintained</v>
      </c>
      <c r="AI69" t="str">
        <f t="shared" si="78"/>
        <v>References</v>
      </c>
      <c r="AJ69" t="str">
        <f t="shared" si="79"/>
        <v>2.1.3.RX</v>
      </c>
      <c r="AK69" t="str">
        <f>IF(AND(AG69&lt;&gt;"",LEFT(AG69,1)&lt;&gt;"#"),IF(LEFT(AG69,1)="-",REPLACE(AG69,1,1,tech!$H$2),AG69),"")</f>
        <v/>
      </c>
      <c r="AL69" t="s">
        <v>495</v>
      </c>
      <c r="AM69" s="492" t="s">
        <v>807</v>
      </c>
      <c r="AN69" t="str">
        <f t="shared" si="80"/>
        <v>Certificate cipher suites are documented</v>
      </c>
      <c r="AO69" t="str">
        <f t="shared" si="81"/>
        <v>References</v>
      </c>
      <c r="AP69" t="str">
        <f t="shared" si="82"/>
        <v>2.2.2.RY</v>
      </c>
      <c r="AQ69" t="str">
        <f>IF(AND(AM69&lt;&gt;"",LEFT(AM69,1)&lt;&gt;"#"),IF(LEFT(AM69,1)="-",REPLACE(AM69,1,1,tech!$H$2),AM69),"")</f>
        <v>* [NIST SP 800-208 - Recommendation for Stateful Hash-Based Signature Schemes](https://csrc.nist.gov/publications/detail/sp/800-208/final)</v>
      </c>
      <c r="AR69" t="s">
        <v>495</v>
      </c>
      <c r="AS69" s="492" t="s">
        <v>925</v>
      </c>
      <c r="AT69" t="str">
        <f t="shared" si="83"/>
        <v>Separation and segmentation principles are applied</v>
      </c>
      <c r="AU69" t="str">
        <f t="shared" si="84"/>
        <v>Assessment</v>
      </c>
      <c r="AV69" t="str">
        <f t="shared" si="85"/>
        <v>2.3.2.AY</v>
      </c>
      <c r="AW69" t="str">
        <f>IF(AND(AS69&lt;&gt;"",LEFT(AS69,1)&lt;&gt;"#"),IF(LEFT(AS69,1)="-",REPLACE(AS69,1,1,tech!$H$2),AS69),"")</f>
        <v>• Interview with the network administrators</v>
      </c>
      <c r="AX69" t="s">
        <v>495</v>
      </c>
      <c r="AY69" s="492" t="s">
        <v>501</v>
      </c>
      <c r="AZ69" t="str">
        <f t="shared" si="86"/>
        <v>Request for change structure is documented and followed</v>
      </c>
      <c r="BA69" t="str">
        <f t="shared" si="87"/>
        <v>Assessment</v>
      </c>
      <c r="BB69" t="str">
        <f t="shared" si="88"/>
        <v>2.4.2.AX</v>
      </c>
      <c r="BC69" t="str">
        <f>IF(AND(AY69&lt;&gt;"",LEFT(AY69,1)&lt;&gt;"#"),IF(LEFT(AY69,1)="-",REPLACE(AY69,1,1,tech!$H$2),AY69),"")</f>
        <v/>
      </c>
      <c r="BD69" t="s">
        <v>495</v>
      </c>
      <c r="BE69" s="492"/>
      <c r="BF69" t="str">
        <f t="shared" si="89"/>
        <v>Business continuity planning and disaster recovery</v>
      </c>
      <c r="BG69" t="str">
        <f t="shared" si="90"/>
        <v>References</v>
      </c>
      <c r="BH69" t="str">
        <f t="shared" si="91"/>
        <v>3.1.3.RX</v>
      </c>
      <c r="BI69" t="str">
        <f>IF(AND(BE69&lt;&gt;"",LEFT(BE69,1)&lt;&gt;"#"),IF(LEFT(BE69,1)="-",REPLACE(BE69,1,1,tech!$H$2),BE69),"")</f>
        <v/>
      </c>
      <c r="BJ69" t="s">
        <v>495</v>
      </c>
      <c r="BK69" s="492"/>
      <c r="BL69" t="str">
        <f t="shared" si="92"/>
        <v>Documented integration guidance</v>
      </c>
      <c r="BM69" t="str">
        <f t="shared" si="93"/>
        <v>References</v>
      </c>
      <c r="BN69" t="str">
        <f t="shared" si="94"/>
        <v>3.2.2.RX</v>
      </c>
      <c r="BO69" t="str">
        <f>IF(AND(BK69&lt;&gt;"",LEFT(BK69,1)&lt;&gt;"#"),IF(LEFT(BK69,1)="-",REPLACE(BK69,1,1,tech!$H$2),BK69),"")</f>
        <v/>
      </c>
      <c r="BP69" t="s">
        <v>495</v>
      </c>
      <c r="BQ69" s="492" t="s">
        <v>1189</v>
      </c>
      <c r="BR69" t="str">
        <f t="shared" si="95"/>
        <v>Event logs from systems are collected</v>
      </c>
      <c r="BS69" t="str">
        <f t="shared" si="96"/>
        <v>Assessment</v>
      </c>
      <c r="BT69" t="str">
        <f t="shared" si="97"/>
        <v>3.3.2.AY</v>
      </c>
      <c r="BU69" t="str">
        <f>IF(AND(BQ69&lt;&gt;"",LEFT(BQ69,1)&lt;&gt;"#"),IF(LEFT(BQ69,1)="-",REPLACE(BQ69,1,1,tech!$H$2),BQ69),"")</f>
        <v>• Review of records and their Formatting</v>
      </c>
      <c r="BV69" t="s">
        <v>495</v>
      </c>
      <c r="BW69" s="492" t="s">
        <v>1222</v>
      </c>
      <c r="BX69" t="str">
        <f t="shared" si="98"/>
        <v>Incidents and exceptions handling</v>
      </c>
      <c r="BY69" t="str">
        <f t="shared" si="99"/>
        <v>References</v>
      </c>
      <c r="BZ69" t="str">
        <f t="shared" si="100"/>
        <v>3.4.3.RX</v>
      </c>
      <c r="CA69" t="str">
        <f>IF(AND(BW69&lt;&gt;"",LEFT(BW69,1)&lt;&gt;"#"),IF(LEFT(BW69,1)="-",REPLACE(BW69,1,1,tech!$H$2),BW69),"")</f>
        <v/>
      </c>
      <c r="CB69" t="s">
        <v>495</v>
      </c>
      <c r="CC69" s="492"/>
      <c r="CD69" t="str">
        <f t="shared" si="101"/>
        <v>Availability of resources</v>
      </c>
      <c r="CE69" t="str">
        <f t="shared" si="102"/>
        <v>Assessment</v>
      </c>
      <c r="CF69" t="str">
        <f t="shared" si="103"/>
        <v>4.1.3.AX</v>
      </c>
      <c r="CG69" t="str">
        <f>IF(AND(CC69&lt;&gt;"",LEFT(CC69,1)&lt;&gt;"#"),IF(LEFT(CC69,1)="-",REPLACE(CC69,1,1,tech!$H$2),CC69),"")</f>
        <v/>
      </c>
      <c r="CH69" t="s">
        <v>495</v>
      </c>
      <c r="CI69" s="492" t="s">
        <v>1336</v>
      </c>
      <c r="CJ69" t="str">
        <f t="shared" si="104"/>
        <v>Responsible personnel receive training</v>
      </c>
      <c r="CK69" t="str">
        <f t="shared" si="105"/>
        <v>Assessment</v>
      </c>
      <c r="CL69" t="str">
        <f t="shared" si="106"/>
        <v>4.2.2.AY</v>
      </c>
      <c r="CM69" t="str">
        <f>IF(AND(CI69&lt;&gt;"",LEFT(CI69,1)&lt;&gt;"#"),IF(LEFT(CI69,1)="-",REPLACE(CI69,1,1,tech!$H$2),CI69),"")</f>
        <v>• Review Training matrix</v>
      </c>
      <c r="CN69" t="s">
        <v>495</v>
      </c>
      <c r="CO69" s="492" t="s">
        <v>1484</v>
      </c>
      <c r="CP69" t="str">
        <f t="shared" si="107"/>
        <v>Disclose PKI information</v>
      </c>
      <c r="CQ69" t="str">
        <f t="shared" si="108"/>
        <v>Assessment</v>
      </c>
      <c r="CR69" t="str">
        <f t="shared" si="109"/>
        <v>4.3.2.AY</v>
      </c>
      <c r="CS69" t="str">
        <f>IF(AND(CO69&lt;&gt;"",LEFT(CO69,1)&lt;&gt;"#"),IF(LEFT(CO69,1)="-",REPLACE(CO69,1,1,tech!$H$2),CO69),"")</f>
        <v>• information is up-to-date</v>
      </c>
      <c r="CT69" t="s">
        <v>495</v>
      </c>
    </row>
    <row r="70" spans="3:98" x14ac:dyDescent="0.25">
      <c r="C70" s="492" t="s">
        <v>448</v>
      </c>
      <c r="D70" t="str">
        <f t="shared" si="64"/>
        <v>Managed</v>
      </c>
      <c r="E70" t="str">
        <f t="shared" si="110"/>
        <v>Associated risks</v>
      </c>
      <c r="F70" t="str">
        <f>_xlfn.CONCAT(VLOOKUP(D70,tech!$A$13:$B$17,2,0),LEFT(E70,1),IF(G70="","X","Y"))</f>
        <v>4AX</v>
      </c>
      <c r="G70" t="str">
        <f>IF(IF(LEFT(C70,1)="-",C70,"")="","",REPLACE(IF(LEFT(C70,1)="-",C70,""),1,1,tech!$H$2))</f>
        <v/>
      </c>
      <c r="H70" t="s">
        <v>495</v>
      </c>
      <c r="I70" s="492"/>
      <c r="J70" t="str">
        <f t="shared" si="65"/>
        <v>Scope and business drivers for PKI</v>
      </c>
      <c r="K70" t="str">
        <f t="shared" si="66"/>
        <v>Assessment</v>
      </c>
      <c r="L70" t="str">
        <f t="shared" si="67"/>
        <v>1.1.3.AX</v>
      </c>
      <c r="M70" t="str">
        <f>IF(AND(I70&lt;&gt;"",LEFT(I70,1)&lt;&gt;"#"),IF(LEFT(I70,1)="-",REPLACE(I70,1,1,tech!$H$2),I70),"")</f>
        <v/>
      </c>
      <c r="N70" t="s">
        <v>495</v>
      </c>
      <c r="O70" s="492" t="s">
        <v>578</v>
      </c>
      <c r="P70" t="str">
        <f t="shared" si="68"/>
        <v>Certificate policy is documented and published</v>
      </c>
      <c r="Q70" t="str">
        <f t="shared" si="69"/>
        <v>Assessment</v>
      </c>
      <c r="R70" t="str">
        <f t="shared" si="70"/>
        <v>1.2.2.AY</v>
      </c>
      <c r="S70" t="str">
        <f>IF(AND(O70&lt;&gt;"",LEFT(O70,1)&lt;&gt;"#"),IF(LEFT(O70,1)="-",REPLACE(O70,1,1,tech!$H$2),O70),"")</f>
        <v>• the legal rights and responsibilities of parties are described in the CP</v>
      </c>
      <c r="T70" t="s">
        <v>495</v>
      </c>
      <c r="U70" s="492"/>
      <c r="V70" t="str">
        <f t="shared" si="71"/>
        <v>Responsibilities for the compliance are formally defined and assigned</v>
      </c>
      <c r="W70" t="str">
        <f t="shared" si="72"/>
        <v>Guidance</v>
      </c>
      <c r="X70" t="str">
        <f t="shared" si="73"/>
        <v>1.3.3.GX</v>
      </c>
      <c r="Y70" t="str">
        <f>IF(AND(U70&lt;&gt;"",LEFT(U70,1)&lt;&gt;"#"),IF(LEFT(U70,1)="-",REPLACE(U70,1,1,tech!$H$2),U70),"")</f>
        <v/>
      </c>
      <c r="Z70" t="s">
        <v>495</v>
      </c>
      <c r="AA70" s="492"/>
      <c r="AB70" t="str">
        <f t="shared" si="74"/>
        <v>Recurring activities are executed on time</v>
      </c>
      <c r="AC70" t="str">
        <f t="shared" si="75"/>
        <v>Guidance</v>
      </c>
      <c r="AD70" t="str">
        <f t="shared" si="76"/>
        <v>1.4.3.GX</v>
      </c>
      <c r="AE70" t="str">
        <f>IF(AND(AA70&lt;&gt;"",LEFT(AA70,1)&lt;&gt;"#"),IF(LEFT(AA70,1)="-",REPLACE(AA70,1,1,tech!$H$2),AA70),"")</f>
        <v/>
      </c>
      <c r="AF70" t="s">
        <v>495</v>
      </c>
      <c r="AG70" s="492"/>
      <c r="AH70" t="str">
        <f t="shared" si="77"/>
        <v>Inventory of cryptographic devices is documented and maintained</v>
      </c>
      <c r="AI70" t="str">
        <f t="shared" si="78"/>
        <v>References</v>
      </c>
      <c r="AJ70" t="str">
        <f t="shared" si="79"/>
        <v>2.1.3.RX</v>
      </c>
      <c r="AK70" t="str">
        <f>IF(AND(AG70&lt;&gt;"",LEFT(AG70,1)&lt;&gt;"#"),IF(LEFT(AG70,1)="-",REPLACE(AG70,1,1,tech!$H$2),AG70),"")</f>
        <v/>
      </c>
      <c r="AL70" t="s">
        <v>495</v>
      </c>
      <c r="AM70" s="492"/>
      <c r="AN70" t="str">
        <f t="shared" si="80"/>
        <v>Certificate cipher suites are documented</v>
      </c>
      <c r="AO70" t="str">
        <f t="shared" si="81"/>
        <v>References</v>
      </c>
      <c r="AP70" t="str">
        <f t="shared" si="82"/>
        <v>2.2.2.RX</v>
      </c>
      <c r="AQ70" t="str">
        <f>IF(AND(AM70&lt;&gt;"",LEFT(AM70,1)&lt;&gt;"#"),IF(LEFT(AM70,1)="-",REPLACE(AM70,1,1,tech!$H$2),AM70),"")</f>
        <v/>
      </c>
      <c r="AR70" t="s">
        <v>495</v>
      </c>
      <c r="AS70" s="492"/>
      <c r="AT70" t="str">
        <f t="shared" si="83"/>
        <v>Separation and segmentation principles are applied</v>
      </c>
      <c r="AU70" t="str">
        <f t="shared" si="84"/>
        <v>Assessment</v>
      </c>
      <c r="AV70" t="str">
        <f t="shared" si="85"/>
        <v>2.3.2.AX</v>
      </c>
      <c r="AW70" t="str">
        <f>IF(AND(AS70&lt;&gt;"",LEFT(AS70,1)&lt;&gt;"#"),IF(LEFT(AS70,1)="-",REPLACE(AS70,1,1,tech!$H$2),AS70),"")</f>
        <v/>
      </c>
      <c r="AX70" t="s">
        <v>495</v>
      </c>
      <c r="AY70" s="492"/>
      <c r="AZ70" t="str">
        <f t="shared" si="86"/>
        <v>Request for change structure is documented and followed</v>
      </c>
      <c r="BA70" t="str">
        <f t="shared" si="87"/>
        <v>Assessment</v>
      </c>
      <c r="BB70" t="str">
        <f t="shared" si="88"/>
        <v>2.4.2.AX</v>
      </c>
      <c r="BC70" t="str">
        <f>IF(AND(AY70&lt;&gt;"",LEFT(AY70,1)&lt;&gt;"#"),IF(LEFT(AY70,1)="-",REPLACE(AY70,1,1,tech!$H$2),AY70),"")</f>
        <v/>
      </c>
      <c r="BD70" t="s">
        <v>495</v>
      </c>
      <c r="BE70" s="492" t="s">
        <v>498</v>
      </c>
      <c r="BF70" t="str">
        <f t="shared" si="89"/>
        <v>Business continuity planning and disaster recovery</v>
      </c>
      <c r="BG70" t="str">
        <f t="shared" si="90"/>
        <v>Guidance</v>
      </c>
      <c r="BH70" t="str">
        <f t="shared" si="91"/>
        <v>3.1.3.GX</v>
      </c>
      <c r="BI70" t="str">
        <f>IF(AND(BE70&lt;&gt;"",LEFT(BE70,1)&lt;&gt;"#"),IF(LEFT(BE70,1)="-",REPLACE(BE70,1,1,tech!$H$2),BE70),"")</f>
        <v/>
      </c>
      <c r="BJ70" t="s">
        <v>495</v>
      </c>
      <c r="BK70" s="492" t="s">
        <v>1099</v>
      </c>
      <c r="BL70" t="str">
        <f t="shared" si="92"/>
        <v>Adoption and application of open standards</v>
      </c>
      <c r="BM70" t="str">
        <f t="shared" si="93"/>
        <v>References</v>
      </c>
      <c r="BN70" t="str">
        <f t="shared" si="94"/>
        <v>3.2.3.RX</v>
      </c>
      <c r="BO70" t="str">
        <f>IF(AND(BK70&lt;&gt;"",LEFT(BK70,1)&lt;&gt;"#"),IF(LEFT(BK70,1)="-",REPLACE(BK70,1,1,tech!$H$2),BK70),"")</f>
        <v/>
      </c>
      <c r="BP70" t="s">
        <v>495</v>
      </c>
      <c r="BQ70" s="492" t="s">
        <v>1190</v>
      </c>
      <c r="BR70" t="str">
        <f t="shared" si="95"/>
        <v>Event logs from systems are collected</v>
      </c>
      <c r="BS70" t="str">
        <f t="shared" si="96"/>
        <v>Assessment</v>
      </c>
      <c r="BT70" t="str">
        <f t="shared" si="97"/>
        <v>3.3.2.AY</v>
      </c>
      <c r="BU70" t="str">
        <f>IF(AND(BQ70&lt;&gt;"",LEFT(BQ70,1)&lt;&gt;"#"),IF(LEFT(BQ70,1)="-",REPLACE(BQ70,1,1,tech!$H$2),BQ70),"")</f>
        <v>• Review of configuration standards for logging</v>
      </c>
      <c r="BV70" t="s">
        <v>495</v>
      </c>
      <c r="BW70" s="492"/>
      <c r="BX70" t="str">
        <f t="shared" si="98"/>
        <v>Incidents and exceptions handling</v>
      </c>
      <c r="BY70" t="str">
        <f t="shared" si="99"/>
        <v>References</v>
      </c>
      <c r="BZ70" t="str">
        <f t="shared" si="100"/>
        <v>3.4.3.RX</v>
      </c>
      <c r="CA70" t="str">
        <f>IF(AND(BW70&lt;&gt;"",LEFT(BW70,1)&lt;&gt;"#"),IF(LEFT(BW70,1)="-",REPLACE(BW70,1,1,tech!$H$2),BW70),"")</f>
        <v/>
      </c>
      <c r="CB70" t="s">
        <v>495</v>
      </c>
      <c r="CC70" s="492" t="s">
        <v>1276</v>
      </c>
      <c r="CD70" t="str">
        <f t="shared" si="101"/>
        <v>Availability of resources</v>
      </c>
      <c r="CE70" t="str">
        <f t="shared" si="102"/>
        <v>Assessment</v>
      </c>
      <c r="CF70" t="str">
        <f t="shared" si="103"/>
        <v>4.1.3.AY</v>
      </c>
      <c r="CG70" t="str">
        <f>IF(AND(CC70&lt;&gt;"",LEFT(CC70,1)&lt;&gt;"#"),IF(LEFT(CC70,1)="-",REPLACE(CC70,1,1,tech!$H$2),CC70),"")</f>
        <v>• Review of the Resource management process</v>
      </c>
      <c r="CH70" t="s">
        <v>495</v>
      </c>
      <c r="CI70" s="492" t="s">
        <v>1337</v>
      </c>
      <c r="CJ70" t="str">
        <f t="shared" si="104"/>
        <v>Responsible personnel receive training</v>
      </c>
      <c r="CK70" t="str">
        <f t="shared" si="105"/>
        <v>Assessment</v>
      </c>
      <c r="CL70" t="str">
        <f t="shared" si="106"/>
        <v>4.2.2.AY</v>
      </c>
      <c r="CM70" t="str">
        <f>IF(AND(CI70&lt;&gt;"",LEFT(CI70,1)&lt;&gt;"#"),IF(LEFT(CI70,1)="-",REPLACE(CI70,1,1,tech!$H$2),CI70),"")</f>
        <v>• Review Documented Training Results</v>
      </c>
      <c r="CN70" t="s">
        <v>495</v>
      </c>
      <c r="CO70" s="492"/>
      <c r="CP70" t="str">
        <f t="shared" si="107"/>
        <v>Disclose PKI information</v>
      </c>
      <c r="CQ70" t="str">
        <f t="shared" si="108"/>
        <v>Assessment</v>
      </c>
      <c r="CR70" t="str">
        <f t="shared" si="109"/>
        <v>4.3.2.AX</v>
      </c>
      <c r="CS70" t="str">
        <f>IF(AND(CO70&lt;&gt;"",LEFT(CO70,1)&lt;&gt;"#"),IF(LEFT(CO70,1)="-",REPLACE(CO70,1,1,tech!$H$2),CO70),"")</f>
        <v/>
      </c>
      <c r="CT70" t="s">
        <v>495</v>
      </c>
    </row>
    <row r="71" spans="3:98" x14ac:dyDescent="0.25">
      <c r="C71" s="492"/>
      <c r="D71" t="str">
        <f t="shared" si="64"/>
        <v>Managed</v>
      </c>
      <c r="E71" t="str">
        <f t="shared" si="110"/>
        <v>Associated risks</v>
      </c>
      <c r="F71" t="str">
        <f>_xlfn.CONCAT(VLOOKUP(D71,tech!$A$13:$B$17,2,0),LEFT(E71,1),IF(G71="","X","Y"))</f>
        <v>4AX</v>
      </c>
      <c r="G71" t="str">
        <f>IF(IF(LEFT(C71,1)="-",C71,"")="","",REPLACE(IF(LEFT(C71,1)="-",C71,""),1,1,tech!$H$2))</f>
        <v/>
      </c>
      <c r="H71" t="s">
        <v>495</v>
      </c>
      <c r="I71" s="492" t="s">
        <v>503</v>
      </c>
      <c r="J71" t="str">
        <f t="shared" si="65"/>
        <v>Scope and business drivers for PKI</v>
      </c>
      <c r="K71" t="str">
        <f t="shared" si="66"/>
        <v>References</v>
      </c>
      <c r="L71" t="str">
        <f t="shared" si="67"/>
        <v>1.1.3.RX</v>
      </c>
      <c r="M71" t="str">
        <f>IF(AND(I71&lt;&gt;"",LEFT(I71,1)&lt;&gt;"#"),IF(LEFT(I71,1)="-",REPLACE(I71,1,1,tech!$H$2),I71),"")</f>
        <v/>
      </c>
      <c r="N71" t="s">
        <v>495</v>
      </c>
      <c r="O71" s="492" t="s">
        <v>557</v>
      </c>
      <c r="P71" t="str">
        <f t="shared" si="68"/>
        <v>Certificate policy is documented and published</v>
      </c>
      <c r="Q71" t="str">
        <f t="shared" si="69"/>
        <v>Assessment</v>
      </c>
      <c r="R71" t="str">
        <f t="shared" si="70"/>
        <v>1.2.2.AY</v>
      </c>
      <c r="S71" t="str">
        <f>IF(AND(O71&lt;&gt;"",LEFT(O71,1)&lt;&gt;"#"),IF(LEFT(O71,1)="-",REPLACE(O71,1,1,tech!$H$2),O71),"")</f>
        <v>• CP has listed correct object identifiers for the purpose it's used for</v>
      </c>
      <c r="T71" t="s">
        <v>495</v>
      </c>
      <c r="U71" s="492" t="s">
        <v>635</v>
      </c>
      <c r="V71" t="str">
        <f t="shared" si="71"/>
        <v>Responsibilities for the compliance are formally defined and assigned</v>
      </c>
      <c r="W71" t="str">
        <f t="shared" si="72"/>
        <v>Guidance</v>
      </c>
      <c r="X71" t="str">
        <f t="shared" si="73"/>
        <v>1.3.3.GY</v>
      </c>
      <c r="Y71" t="str">
        <f>IF(AND(U71&lt;&gt;"",LEFT(U71,1)&lt;&gt;"#"),IF(LEFT(U71,1)="-",REPLACE(U71,1,1,tech!$H$2),U71),"")</f>
        <v>Within the organization, there should exist clear and well documented guidelines outlining which individual, group or team is responsible for ensuring that PKI policies are being followed. This applies to governance and oversight in addition to operational policies and procedures.</v>
      </c>
      <c r="Z71" t="s">
        <v>495</v>
      </c>
      <c r="AA71" s="492" t="s">
        <v>501</v>
      </c>
      <c r="AB71" t="str">
        <f t="shared" si="74"/>
        <v>Recurring activities are executed on time</v>
      </c>
      <c r="AC71" t="str">
        <f t="shared" si="75"/>
        <v>Assessment</v>
      </c>
      <c r="AD71" t="str">
        <f t="shared" si="76"/>
        <v>1.4.3.AX</v>
      </c>
      <c r="AE71" t="str">
        <f>IF(AND(AA71&lt;&gt;"",LEFT(AA71,1)&lt;&gt;"#"),IF(LEFT(AA71,1)="-",REPLACE(AA71,1,1,tech!$H$2),AA71),"")</f>
        <v/>
      </c>
      <c r="AF71" t="s">
        <v>495</v>
      </c>
      <c r="AG71" s="492" t="s">
        <v>498</v>
      </c>
      <c r="AH71" t="str">
        <f t="shared" si="77"/>
        <v>Inventory of cryptographic devices is documented and maintained</v>
      </c>
      <c r="AI71" t="str">
        <f t="shared" si="78"/>
        <v>Guidance</v>
      </c>
      <c r="AJ71" t="str">
        <f t="shared" si="79"/>
        <v>2.1.3.GX</v>
      </c>
      <c r="AK71" t="str">
        <f>IF(AND(AG71&lt;&gt;"",LEFT(AG71,1)&lt;&gt;"#"),IF(LEFT(AG71,1)="-",REPLACE(AG71,1,1,tech!$H$2),AG71),"")</f>
        <v/>
      </c>
      <c r="AL71" t="s">
        <v>495</v>
      </c>
      <c r="AM71" s="492" t="s">
        <v>808</v>
      </c>
      <c r="AN71" t="str">
        <f t="shared" si="80"/>
        <v>Certificate lifecycle management is documented</v>
      </c>
      <c r="AO71" t="str">
        <f t="shared" si="81"/>
        <v>References</v>
      </c>
      <c r="AP71" t="str">
        <f t="shared" si="82"/>
        <v>2.2.3.RX</v>
      </c>
      <c r="AQ71" t="str">
        <f>IF(AND(AM71&lt;&gt;"",LEFT(AM71,1)&lt;&gt;"#"),IF(LEFT(AM71,1)="-",REPLACE(AM71,1,1,tech!$H$2),AM71),"")</f>
        <v/>
      </c>
      <c r="AR71" t="s">
        <v>495</v>
      </c>
      <c r="AS71" s="492" t="s">
        <v>503</v>
      </c>
      <c r="AT71" t="str">
        <f t="shared" si="83"/>
        <v>Separation and segmentation principles are applied</v>
      </c>
      <c r="AU71" t="str">
        <f t="shared" si="84"/>
        <v>References</v>
      </c>
      <c r="AV71" t="str">
        <f t="shared" si="85"/>
        <v>2.3.2.RX</v>
      </c>
      <c r="AW71" t="str">
        <f>IF(AND(AS71&lt;&gt;"",LEFT(AS71,1)&lt;&gt;"#"),IF(LEFT(AS71,1)="-",REPLACE(AS71,1,1,tech!$H$2),AS71),"")</f>
        <v/>
      </c>
      <c r="AX71" t="s">
        <v>495</v>
      </c>
      <c r="AY71" s="492" t="s">
        <v>502</v>
      </c>
      <c r="AZ71" t="str">
        <f t="shared" si="86"/>
        <v>Request for change structure is documented and followed</v>
      </c>
      <c r="BA71" t="str">
        <f t="shared" si="87"/>
        <v>Assessment</v>
      </c>
      <c r="BB71" t="str">
        <f t="shared" si="88"/>
        <v>2.4.2.AY</v>
      </c>
      <c r="BC71" t="str">
        <f>IF(AND(AY71&lt;&gt;"",LEFT(AY71,1)&lt;&gt;"#"),IF(LEFT(AY71,1)="-",REPLACE(AY71,1,1,tech!$H$2),AY71),"")</f>
        <v>The following is sample evidence that can be used to assess the requirement:</v>
      </c>
      <c r="BD71" t="s">
        <v>495</v>
      </c>
      <c r="BE71" s="492"/>
      <c r="BF71" t="str">
        <f t="shared" si="89"/>
        <v>Business continuity planning and disaster recovery</v>
      </c>
      <c r="BG71" t="str">
        <f t="shared" si="90"/>
        <v>Guidance</v>
      </c>
      <c r="BH71" t="str">
        <f t="shared" si="91"/>
        <v>3.1.3.GX</v>
      </c>
      <c r="BI71" t="str">
        <f>IF(AND(BE71&lt;&gt;"",LEFT(BE71,1)&lt;&gt;"#"),IF(LEFT(BE71,1)="-",REPLACE(BE71,1,1,tech!$H$2),BE71),"")</f>
        <v/>
      </c>
      <c r="BJ71" t="s">
        <v>495</v>
      </c>
      <c r="BK71" s="492"/>
      <c r="BL71" t="str">
        <f t="shared" si="92"/>
        <v>Adoption and application of open standards</v>
      </c>
      <c r="BM71" t="str">
        <f t="shared" si="93"/>
        <v>References</v>
      </c>
      <c r="BN71" t="str">
        <f t="shared" si="94"/>
        <v>3.2.3.RX</v>
      </c>
      <c r="BO71" t="str">
        <f>IF(AND(BK71&lt;&gt;"",LEFT(BK71,1)&lt;&gt;"#"),IF(LEFT(BK71,1)="-",REPLACE(BK71,1,1,tech!$H$2),BK71),"")</f>
        <v/>
      </c>
      <c r="BP71" t="s">
        <v>495</v>
      </c>
      <c r="BQ71" s="492" t="s">
        <v>1191</v>
      </c>
      <c r="BR71" t="str">
        <f t="shared" si="95"/>
        <v>Event logs from systems are collected</v>
      </c>
      <c r="BS71" t="str">
        <f t="shared" si="96"/>
        <v>Assessment</v>
      </c>
      <c r="BT71" t="str">
        <f t="shared" si="97"/>
        <v>3.3.2.AY</v>
      </c>
      <c r="BU71" t="str">
        <f>IF(AND(BQ71&lt;&gt;"",LEFT(BQ71,1)&lt;&gt;"#"),IF(LEFT(BQ71,1)="-",REPLACE(BQ71,1,1,tech!$H$2),BQ71),"")</f>
        <v>• Interviews with personnel to check the Understanding of logging format and interpretation of the information</v>
      </c>
      <c r="BV71" t="s">
        <v>495</v>
      </c>
      <c r="BW71" s="492" t="s">
        <v>498</v>
      </c>
      <c r="BX71" t="str">
        <f t="shared" si="98"/>
        <v>Incidents and exceptions handling</v>
      </c>
      <c r="BY71" t="str">
        <f t="shared" si="99"/>
        <v>Guidance</v>
      </c>
      <c r="BZ71" t="str">
        <f t="shared" si="100"/>
        <v>3.4.3.GX</v>
      </c>
      <c r="CA71" t="str">
        <f>IF(AND(BW71&lt;&gt;"",LEFT(BW71,1)&lt;&gt;"#"),IF(LEFT(BW71,1)="-",REPLACE(BW71,1,1,tech!$H$2),BW71),"")</f>
        <v/>
      </c>
      <c r="CB71" t="s">
        <v>495</v>
      </c>
      <c r="CC71" s="492" t="s">
        <v>1277</v>
      </c>
      <c r="CD71" t="str">
        <f t="shared" si="101"/>
        <v>Availability of resources</v>
      </c>
      <c r="CE71" t="str">
        <f t="shared" si="102"/>
        <v>Assessment</v>
      </c>
      <c r="CF71" t="str">
        <f t="shared" si="103"/>
        <v>4.1.3.AY</v>
      </c>
      <c r="CG71" t="str">
        <f>IF(AND(CC71&lt;&gt;"",LEFT(CC71,1)&lt;&gt;"#"),IF(LEFT(CC71,1)="-",REPLACE(CC71,1,1,tech!$H$2),CC71),"")</f>
        <v>• Review of the capacity or demand management process</v>
      </c>
      <c r="CH71" t="s">
        <v>495</v>
      </c>
      <c r="CI71" s="492" t="s">
        <v>1338</v>
      </c>
      <c r="CJ71" t="str">
        <f t="shared" si="104"/>
        <v>Responsible personnel receive training</v>
      </c>
      <c r="CK71" t="str">
        <f t="shared" si="105"/>
        <v>Assessment</v>
      </c>
      <c r="CL71" t="str">
        <f t="shared" si="106"/>
        <v>4.2.2.AY</v>
      </c>
      <c r="CM71" t="str">
        <f>IF(AND(CI71&lt;&gt;"",LEFT(CI71,1)&lt;&gt;"#"),IF(LEFT(CI71,1)="-",REPLACE(CI71,1,1,tech!$H$2),CI71),"")</f>
        <v>• Review Training records</v>
      </c>
      <c r="CN71" t="s">
        <v>495</v>
      </c>
      <c r="CO71" s="492" t="s">
        <v>503</v>
      </c>
      <c r="CP71" t="str">
        <f t="shared" si="107"/>
        <v>Disclose PKI information</v>
      </c>
      <c r="CQ71" t="str">
        <f t="shared" si="108"/>
        <v>References</v>
      </c>
      <c r="CR71" t="str">
        <f t="shared" si="109"/>
        <v>4.3.2.RX</v>
      </c>
      <c r="CS71" t="str">
        <f>IF(AND(CO71&lt;&gt;"",LEFT(CO71,1)&lt;&gt;"#"),IF(LEFT(CO71,1)="-",REPLACE(CO71,1,1,tech!$H$2),CO71),"")</f>
        <v/>
      </c>
      <c r="CT71" t="s">
        <v>495</v>
      </c>
    </row>
    <row r="72" spans="3:98" x14ac:dyDescent="0.25">
      <c r="C72" s="492" t="s">
        <v>475</v>
      </c>
      <c r="D72" t="str">
        <f t="shared" si="64"/>
        <v>Managed</v>
      </c>
      <c r="E72" t="str">
        <f t="shared" si="110"/>
        <v>Associated risks</v>
      </c>
      <c r="F72" t="str">
        <f>_xlfn.CONCAT(VLOOKUP(D72,tech!$A$13:$B$17,2,0),LEFT(E72,1),IF(G72="","X","Y"))</f>
        <v>4AY</v>
      </c>
      <c r="G72" t="str">
        <f>IF(IF(LEFT(C72,1)="-",C72,"")="","",REPLACE(IF(LEFT(C72,1)="-",C72,""),1,1,tech!$H$2))</f>
        <v>• Low probability of operational issues</v>
      </c>
      <c r="H72" t="s">
        <v>495</v>
      </c>
      <c r="I72" s="492"/>
      <c r="J72" t="str">
        <f t="shared" si="65"/>
        <v>Scope and business drivers for PKI</v>
      </c>
      <c r="K72" t="str">
        <f t="shared" si="66"/>
        <v>References</v>
      </c>
      <c r="L72" t="str">
        <f t="shared" si="67"/>
        <v>1.1.3.RX</v>
      </c>
      <c r="M72" t="str">
        <f>IF(AND(I72&lt;&gt;"",LEFT(I72,1)&lt;&gt;"#"),IF(LEFT(I72,1)="-",REPLACE(I72,1,1,tech!$H$2),I72),"")</f>
        <v/>
      </c>
      <c r="N72" t="s">
        <v>495</v>
      </c>
      <c r="O72" s="492" t="s">
        <v>579</v>
      </c>
      <c r="P72" t="str">
        <f t="shared" si="68"/>
        <v>Certificate policy is documented and published</v>
      </c>
      <c r="Q72" t="str">
        <f t="shared" si="69"/>
        <v>Assessment</v>
      </c>
      <c r="R72" t="str">
        <f t="shared" si="70"/>
        <v>1.2.2.AY</v>
      </c>
      <c r="S72" t="str">
        <f>IF(AND(O72&lt;&gt;"",LEFT(O72,1)&lt;&gt;"#"),IF(LEFT(O72,1)="-",REPLACE(O72,1,1,tech!$H$2),O72),"")</f>
        <v>• Verify that the CP is published and available to all parties involved</v>
      </c>
      <c r="T72" t="s">
        <v>495</v>
      </c>
      <c r="U72" s="492"/>
      <c r="V72" t="str">
        <f t="shared" si="71"/>
        <v>Responsibilities for the compliance are formally defined and assigned</v>
      </c>
      <c r="W72" t="str">
        <f t="shared" si="72"/>
        <v>Guidance</v>
      </c>
      <c r="X72" t="str">
        <f t="shared" si="73"/>
        <v>1.3.3.GY</v>
      </c>
      <c r="Y72" t="str">
        <f>IF(AND(U72&lt;&gt;"",LEFT(U72,1)&lt;&gt;"#"),IF(LEFT(U72,1)="-",REPLACE(U72,1,1,tech!$H$2),U72),"")</f>
        <v/>
      </c>
      <c r="Z72" t="s">
        <v>495</v>
      </c>
      <c r="AA72" s="492"/>
      <c r="AB72" t="str">
        <f t="shared" si="74"/>
        <v>Recurring activities are executed on time</v>
      </c>
      <c r="AC72" t="str">
        <f t="shared" si="75"/>
        <v>Assessment</v>
      </c>
      <c r="AD72" t="str">
        <f t="shared" si="76"/>
        <v>1.4.3.AX</v>
      </c>
      <c r="AE72" t="str">
        <f>IF(AND(AA72&lt;&gt;"",LEFT(AA72,1)&lt;&gt;"#"),IF(LEFT(AA72,1)="-",REPLACE(AA72,1,1,tech!$H$2),AA72),"")</f>
        <v/>
      </c>
      <c r="AF72" t="s">
        <v>495</v>
      </c>
      <c r="AG72" s="492"/>
      <c r="AH72" t="str">
        <f t="shared" si="77"/>
        <v>Inventory of cryptographic devices is documented and maintained</v>
      </c>
      <c r="AI72" t="str">
        <f t="shared" si="78"/>
        <v>Guidance</v>
      </c>
      <c r="AJ72" t="str">
        <f t="shared" si="79"/>
        <v>2.1.3.GX</v>
      </c>
      <c r="AK72" t="str">
        <f>IF(AND(AG72&lt;&gt;"",LEFT(AG72,1)&lt;&gt;"#"),IF(LEFT(AG72,1)="-",REPLACE(AG72,1,1,tech!$H$2),AG72),"")</f>
        <v/>
      </c>
      <c r="AL72" t="s">
        <v>495</v>
      </c>
      <c r="AM72" s="492"/>
      <c r="AN72" t="str">
        <f t="shared" si="80"/>
        <v>Certificate lifecycle management is documented</v>
      </c>
      <c r="AO72" t="str">
        <f t="shared" si="81"/>
        <v>References</v>
      </c>
      <c r="AP72" t="str">
        <f t="shared" si="82"/>
        <v>2.2.3.RX</v>
      </c>
      <c r="AQ72" t="str">
        <f>IF(AND(AM72&lt;&gt;"",LEFT(AM72,1)&lt;&gt;"#"),IF(LEFT(AM72,1)="-",REPLACE(AM72,1,1,tech!$H$2),AM72),"")</f>
        <v/>
      </c>
      <c r="AR72" t="s">
        <v>495</v>
      </c>
      <c r="AS72" s="492"/>
      <c r="AT72" t="str">
        <f t="shared" si="83"/>
        <v>Separation and segmentation principles are applied</v>
      </c>
      <c r="AU72" t="str">
        <f t="shared" si="84"/>
        <v>References</v>
      </c>
      <c r="AV72" t="str">
        <f t="shared" si="85"/>
        <v>2.3.2.RX</v>
      </c>
      <c r="AW72" t="str">
        <f>IF(AND(AS72&lt;&gt;"",LEFT(AS72,1)&lt;&gt;"#"),IF(LEFT(AS72,1)="-",REPLACE(AS72,1,1,tech!$H$2),AS72),"")</f>
        <v/>
      </c>
      <c r="AX72" t="s">
        <v>495</v>
      </c>
      <c r="AY72" s="492" t="s">
        <v>999</v>
      </c>
      <c r="AZ72" t="str">
        <f t="shared" si="86"/>
        <v>Request for change structure is documented and followed</v>
      </c>
      <c r="BA72" t="str">
        <f t="shared" si="87"/>
        <v>Assessment</v>
      </c>
      <c r="BB72" t="str">
        <f t="shared" si="88"/>
        <v>2.4.2.AY</v>
      </c>
      <c r="BC72" t="str">
        <f>IF(AND(AY72&lt;&gt;"",LEFT(AY72,1)&lt;&gt;"#"),IF(LEFT(AY72,1)="-",REPLACE(AY72,1,1,tech!$H$2),AY72),"")</f>
        <v>• Documented request for change structure</v>
      </c>
      <c r="BD72" t="s">
        <v>495</v>
      </c>
      <c r="BE72" s="492" t="s">
        <v>1031</v>
      </c>
      <c r="BF72" t="str">
        <f t="shared" si="89"/>
        <v>Business continuity planning and disaster recovery</v>
      </c>
      <c r="BG72" t="str">
        <f t="shared" si="90"/>
        <v>Guidance</v>
      </c>
      <c r="BH72" t="str">
        <f t="shared" si="91"/>
        <v>3.1.3.GY</v>
      </c>
      <c r="BI72" t="str">
        <f>IF(AND(BE72&lt;&gt;"",LEFT(BE72,1)&lt;&gt;"#"),IF(LEFT(BE72,1)="-",REPLACE(BE72,1,1,tech!$H$2),BE72),"")</f>
        <v>The business continuity planning and disaster recovery are the key activities to ensure availability of the PKI operations. The business continuity planning is used to define the recovery time objectives (RTO) and recovery point objectives (RPO) for the PKI. The RTO and RPO are used to define the required resources and their availability.</v>
      </c>
      <c r="BJ72" t="s">
        <v>495</v>
      </c>
      <c r="BK72" s="492" t="s">
        <v>498</v>
      </c>
      <c r="BL72" t="str">
        <f t="shared" si="92"/>
        <v>Adoption and application of open standards</v>
      </c>
      <c r="BM72" t="str">
        <f t="shared" si="93"/>
        <v>Guidance</v>
      </c>
      <c r="BN72" t="str">
        <f t="shared" si="94"/>
        <v>3.2.3.GX</v>
      </c>
      <c r="BO72" t="str">
        <f>IF(AND(BK72&lt;&gt;"",LEFT(BK72,1)&lt;&gt;"#"),IF(LEFT(BK72,1)="-",REPLACE(BK72,1,1,tech!$H$2),BK72),"")</f>
        <v/>
      </c>
      <c r="BP72" t="s">
        <v>495</v>
      </c>
      <c r="BQ72" s="492"/>
      <c r="BR72" t="str">
        <f t="shared" si="95"/>
        <v>Event logs from systems are collected</v>
      </c>
      <c r="BS72" t="str">
        <f t="shared" si="96"/>
        <v>Assessment</v>
      </c>
      <c r="BT72" t="str">
        <f t="shared" si="97"/>
        <v>3.3.2.AX</v>
      </c>
      <c r="BU72" t="str">
        <f>IF(AND(BQ72&lt;&gt;"",LEFT(BQ72,1)&lt;&gt;"#"),IF(LEFT(BQ72,1)="-",REPLACE(BQ72,1,1,tech!$H$2),BQ72),"")</f>
        <v/>
      </c>
      <c r="BV72" t="s">
        <v>495</v>
      </c>
      <c r="BW72" s="492"/>
      <c r="BX72" t="str">
        <f t="shared" si="98"/>
        <v>Incidents and exceptions handling</v>
      </c>
      <c r="BY72" t="str">
        <f t="shared" si="99"/>
        <v>Guidance</v>
      </c>
      <c r="BZ72" t="str">
        <f t="shared" si="100"/>
        <v>3.4.3.GX</v>
      </c>
      <c r="CA72" t="str">
        <f>IF(AND(BW72&lt;&gt;"",LEFT(BW72,1)&lt;&gt;"#"),IF(LEFT(BW72,1)="-",REPLACE(BW72,1,1,tech!$H$2),BW72),"")</f>
        <v/>
      </c>
      <c r="CB72" t="s">
        <v>495</v>
      </c>
      <c r="CC72" s="492" t="s">
        <v>1467</v>
      </c>
      <c r="CD72" t="str">
        <f t="shared" si="101"/>
        <v>Availability of resources</v>
      </c>
      <c r="CE72" t="str">
        <f t="shared" si="102"/>
        <v>Assessment</v>
      </c>
      <c r="CF72" t="str">
        <f t="shared" si="103"/>
        <v>4.1.3.AY</v>
      </c>
      <c r="CG72" t="str">
        <f>IF(AND(CC72&lt;&gt;"",LEFT(CC72,1)&lt;&gt;"#"),IF(LEFT(CC72,1)="-",REPLACE(CC72,1,1,tech!$H$2),CC72),"")</f>
        <v>• Alignment with the strategy of the organization and scope of the PKI</v>
      </c>
      <c r="CH72" t="s">
        <v>495</v>
      </c>
      <c r="CI72" s="492" t="s">
        <v>1339</v>
      </c>
      <c r="CJ72" t="str">
        <f t="shared" si="104"/>
        <v>Responsible personnel receive training</v>
      </c>
      <c r="CK72" t="str">
        <f t="shared" si="105"/>
        <v>Assessment</v>
      </c>
      <c r="CL72" t="str">
        <f t="shared" si="106"/>
        <v>4.2.2.AY</v>
      </c>
      <c r="CM72" t="str">
        <f>IF(AND(CI72&lt;&gt;"",LEFT(CI72,1)&lt;&gt;"#"),IF(LEFT(CI72,1)="-",REPLACE(CI72,1,1,tech!$H$2),CI72),"")</f>
        <v>• Relevancy of the Training content</v>
      </c>
      <c r="CN72" t="s">
        <v>495</v>
      </c>
      <c r="CO72" s="492"/>
      <c r="CP72" t="str">
        <f t="shared" si="107"/>
        <v>Disclose PKI information</v>
      </c>
      <c r="CQ72" t="str">
        <f t="shared" si="108"/>
        <v>References</v>
      </c>
      <c r="CR72" t="str">
        <f t="shared" si="109"/>
        <v>4.3.2.RX</v>
      </c>
      <c r="CS72" t="str">
        <f>IF(AND(CO72&lt;&gt;"",LEFT(CO72,1)&lt;&gt;"#"),IF(LEFT(CO72,1)="-",REPLACE(CO72,1,1,tech!$H$2),CO72),"")</f>
        <v/>
      </c>
      <c r="CT72" t="s">
        <v>495</v>
      </c>
    </row>
    <row r="73" spans="3:98" x14ac:dyDescent="0.25">
      <c r="C73" s="492" t="s">
        <v>476</v>
      </c>
      <c r="D73" t="str">
        <f t="shared" si="64"/>
        <v>Managed</v>
      </c>
      <c r="E73" t="str">
        <f t="shared" si="110"/>
        <v>Associated risks</v>
      </c>
      <c r="F73" t="str">
        <f>_xlfn.CONCAT(VLOOKUP(D73,tech!$A$13:$B$17,2,0),LEFT(E73,1),IF(G73="","X","Y"))</f>
        <v>4AY</v>
      </c>
      <c r="G73" t="str">
        <f>IF(IF(LEFT(C73,1)="-",C73,"")="","",REPLACE(IF(LEFT(C73,1)="-",C73,""),1,1,tech!$H$2))</f>
        <v>• Low probability of compromise and loosing trust</v>
      </c>
      <c r="H73" t="s">
        <v>495</v>
      </c>
      <c r="I73" s="492" t="s">
        <v>504</v>
      </c>
      <c r="J73" t="str">
        <f t="shared" si="65"/>
        <v>Scope and business drivers for PKI</v>
      </c>
      <c r="K73" t="str">
        <f t="shared" si="66"/>
        <v>References</v>
      </c>
      <c r="L73" t="str">
        <f t="shared" si="67"/>
        <v>1.1.3.RY</v>
      </c>
      <c r="M73" t="str">
        <f>IF(AND(I73&lt;&gt;"",LEFT(I73,1)&lt;&gt;"#"),IF(LEFT(I73,1)="-",REPLACE(I73,1,1,tech!$H$2),I73),"")</f>
        <v>• [ISO/IEC 27001 - Information security management systems](https://www.iso.org/standard/54534.html)</v>
      </c>
      <c r="N73" t="s">
        <v>495</v>
      </c>
      <c r="O73" s="492" t="s">
        <v>580</v>
      </c>
      <c r="P73" t="str">
        <f t="shared" si="68"/>
        <v>Certificate policy is documented and published</v>
      </c>
      <c r="Q73" t="str">
        <f t="shared" si="69"/>
        <v>Assessment</v>
      </c>
      <c r="R73" t="str">
        <f t="shared" si="70"/>
        <v>1.2.2.AY</v>
      </c>
      <c r="S73" t="str">
        <f>IF(AND(O73&lt;&gt;"",LEFT(O73,1)&lt;&gt;"#"),IF(LEFT(O73,1)="-",REPLACE(O73,1,1,tech!$H$2),O73),"")</f>
        <v>• Interview with the management and PKI responsible personnel to confirm the CP is accurate and followed</v>
      </c>
      <c r="T73" t="s">
        <v>495</v>
      </c>
      <c r="U73" s="492" t="s">
        <v>636</v>
      </c>
      <c r="V73" t="str">
        <f t="shared" si="71"/>
        <v>Responsibilities for the compliance are formally defined and assigned</v>
      </c>
      <c r="W73" t="str">
        <f t="shared" si="72"/>
        <v>Guidance</v>
      </c>
      <c r="X73" t="str">
        <f t="shared" si="73"/>
        <v>1.3.3.GY</v>
      </c>
      <c r="Y73" t="str">
        <f>IF(AND(U73&lt;&gt;"",LEFT(U73,1)&lt;&gt;"#"),IF(LEFT(U73,1)="-",REPLACE(U73,1,1,tech!$H$2),U73),"")</f>
        <v>Documenting specifically "who" shall be responsible for ensuring PKI policies are being enforced enhances accountability and trustworthiness of the PKI by enforcing the mentality that "someone is watching".  This will help to mitigate risks associated with improper or malicious acts.</v>
      </c>
      <c r="Z73" t="s">
        <v>495</v>
      </c>
      <c r="AA73" s="492" t="s">
        <v>667</v>
      </c>
      <c r="AB73" t="str">
        <f t="shared" si="74"/>
        <v>Recurring activities are executed on time</v>
      </c>
      <c r="AC73" t="str">
        <f t="shared" si="75"/>
        <v>Assessment</v>
      </c>
      <c r="AD73" t="str">
        <f t="shared" si="76"/>
        <v>1.4.3.AY</v>
      </c>
      <c r="AE73" t="str">
        <f>IF(AND(AA73&lt;&gt;"",LEFT(AA73,1)&lt;&gt;"#"),IF(LEFT(AA73,1)="-",REPLACE(AA73,1,1,tech!$H$2),AA73),"")</f>
        <v>The following is sample evidence and information that can be collected during the assessment:</v>
      </c>
      <c r="AF73" t="s">
        <v>495</v>
      </c>
      <c r="AG73" s="492" t="s">
        <v>717</v>
      </c>
      <c r="AH73" t="str">
        <f t="shared" si="77"/>
        <v>Inventory of cryptographic devices is documented and maintained</v>
      </c>
      <c r="AI73" t="str">
        <f t="shared" si="78"/>
        <v>Guidance</v>
      </c>
      <c r="AJ73" t="str">
        <f t="shared" si="79"/>
        <v>2.1.3.GY</v>
      </c>
      <c r="AK73" t="str">
        <f>IF(AND(AG73&lt;&gt;"",LEFT(AG73,1)&lt;&gt;"#"),IF(LEFT(AG73,1)="-",REPLACE(AG73,1,1,tech!$H$2),AG73),"")</f>
        <v>Sensitive cryptographic keys are protected by hardware security modules that can have various forms and comply with security standards such as FIPS 140-3 or Common Criteria Protection Profiles. The keys may be in some case software-protected when there is no high risk associated with its compromise.</v>
      </c>
      <c r="AL73" t="s">
        <v>495</v>
      </c>
      <c r="AM73" s="492" t="s">
        <v>498</v>
      </c>
      <c r="AN73" t="str">
        <f t="shared" si="80"/>
        <v>Certificate lifecycle management is documented</v>
      </c>
      <c r="AO73" t="str">
        <f t="shared" si="81"/>
        <v>Guidance</v>
      </c>
      <c r="AP73" t="str">
        <f t="shared" si="82"/>
        <v>2.2.3.GX</v>
      </c>
      <c r="AQ73" t="str">
        <f>IF(AND(AM73&lt;&gt;"",LEFT(AM73,1)&lt;&gt;"#"),IF(LEFT(AM73,1)="-",REPLACE(AM73,1,1,tech!$H$2),AM73),"")</f>
        <v/>
      </c>
      <c r="AR73" t="s">
        <v>495</v>
      </c>
      <c r="AS73" s="492" t="s">
        <v>896</v>
      </c>
      <c r="AT73" t="str">
        <f t="shared" si="83"/>
        <v>Separation and segmentation principles are applied</v>
      </c>
      <c r="AU73" t="str">
        <f t="shared" si="84"/>
        <v>References</v>
      </c>
      <c r="AV73" t="str">
        <f t="shared" si="85"/>
        <v>2.3.2.RY</v>
      </c>
      <c r="AW73" t="str">
        <f>IF(AND(AS73&lt;&gt;"",LEFT(AS73,1)&lt;&gt;"#"),IF(LEFT(AS73,1)="-",REPLACE(AS73,1,1,tech!$H$2),AS73),"")</f>
        <v>• [ISO/IEC 20000 and related standards](https://www.iso.org/standard/70636.html)</v>
      </c>
      <c r="AX73" t="s">
        <v>495</v>
      </c>
      <c r="AY73" s="492" t="s">
        <v>1000</v>
      </c>
      <c r="AZ73" t="str">
        <f t="shared" si="86"/>
        <v>Request for change structure is documented and followed</v>
      </c>
      <c r="BA73" t="str">
        <f t="shared" si="87"/>
        <v>Assessment</v>
      </c>
      <c r="BB73" t="str">
        <f t="shared" si="88"/>
        <v>2.4.2.AY</v>
      </c>
      <c r="BC73" t="str">
        <f>IF(AND(AY73&lt;&gt;"",LEFT(AY73,1)&lt;&gt;"#"),IF(LEFT(AY73,1)="-",REPLACE(AY73,1,1,tech!$H$2),AY73),"")</f>
        <v>• Sample of change request</v>
      </c>
      <c r="BD73" t="s">
        <v>495</v>
      </c>
      <c r="BE73" s="492"/>
      <c r="BF73" t="str">
        <f t="shared" si="89"/>
        <v>Business continuity planning and disaster recovery</v>
      </c>
      <c r="BG73" t="str">
        <f t="shared" si="90"/>
        <v>Guidance</v>
      </c>
      <c r="BH73" t="str">
        <f t="shared" si="91"/>
        <v>3.1.3.GY</v>
      </c>
      <c r="BI73" t="str">
        <f>IF(AND(BE73&lt;&gt;"",LEFT(BE73,1)&lt;&gt;"#"),IF(LEFT(BE73,1)="-",REPLACE(BE73,1,1,tech!$H$2),BE73),"")</f>
        <v/>
      </c>
      <c r="BJ73" t="s">
        <v>495</v>
      </c>
      <c r="BK73" s="492"/>
      <c r="BL73" t="str">
        <f t="shared" si="92"/>
        <v>Adoption and application of open standards</v>
      </c>
      <c r="BM73" t="str">
        <f t="shared" si="93"/>
        <v>Guidance</v>
      </c>
      <c r="BN73" t="str">
        <f t="shared" si="94"/>
        <v>3.2.3.GX</v>
      </c>
      <c r="BO73" t="str">
        <f>IF(AND(BK73&lt;&gt;"",LEFT(BK73,1)&lt;&gt;"#"),IF(LEFT(BK73,1)="-",REPLACE(BK73,1,1,tech!$H$2),BK73),"")</f>
        <v/>
      </c>
      <c r="BP73" t="s">
        <v>495</v>
      </c>
      <c r="BQ73" s="492" t="s">
        <v>503</v>
      </c>
      <c r="BR73" t="str">
        <f t="shared" si="95"/>
        <v>Event logs from systems are collected</v>
      </c>
      <c r="BS73" t="str">
        <f t="shared" si="96"/>
        <v>References</v>
      </c>
      <c r="BT73" t="str">
        <f t="shared" si="97"/>
        <v>3.3.2.RX</v>
      </c>
      <c r="BU73" t="str">
        <f>IF(AND(BQ73&lt;&gt;"",LEFT(BQ73,1)&lt;&gt;"#"),IF(LEFT(BQ73,1)="-",REPLACE(BQ73,1,1,tech!$H$2),BQ73),"")</f>
        <v/>
      </c>
      <c r="BV73" t="s">
        <v>495</v>
      </c>
      <c r="BW73" s="492" t="s">
        <v>1223</v>
      </c>
      <c r="BX73" t="str">
        <f t="shared" si="98"/>
        <v>Incidents and exceptions handling</v>
      </c>
      <c r="BY73" t="str">
        <f t="shared" si="99"/>
        <v>Guidance</v>
      </c>
      <c r="BZ73" t="str">
        <f t="shared" si="100"/>
        <v>3.4.3.GY</v>
      </c>
      <c r="CA73" t="str">
        <f>IF(AND(BW73&lt;&gt;"",LEFT(BW73,1)&lt;&gt;"#"),IF(LEFT(BW73,1)="-",REPLACE(BW73,1,1,tech!$H$2),BW73),"")</f>
        <v>No automation is perfect and covers everything. There can be edge cases and other situations that were not part of the initial analysis or were simply forgotten. Therefore, there will always be exceptions and incidents that will require manual intervention. The automated process should be able to handle such exceptions and incidents in a way that will not cause any significant damage or disruption to the service.</v>
      </c>
      <c r="CB73" t="s">
        <v>495</v>
      </c>
      <c r="CC73" s="492" t="s">
        <v>1278</v>
      </c>
      <c r="CD73" t="str">
        <f t="shared" si="101"/>
        <v>Availability of resources</v>
      </c>
      <c r="CE73" t="str">
        <f t="shared" si="102"/>
        <v>Assessment</v>
      </c>
      <c r="CF73" t="str">
        <f t="shared" si="103"/>
        <v>4.1.3.AY</v>
      </c>
      <c r="CG73" t="str">
        <f>IF(AND(CC73&lt;&gt;"",LEFT(CC73,1)&lt;&gt;"#"),IF(LEFT(CC73,1)="-",REPLACE(CC73,1,1,tech!$H$2),CC73),"")</f>
        <v>• Review of the assignment of the resources to the tasks</v>
      </c>
      <c r="CH73" t="s">
        <v>495</v>
      </c>
      <c r="CI73" s="492" t="s">
        <v>1340</v>
      </c>
      <c r="CJ73" t="str">
        <f t="shared" si="104"/>
        <v>Responsible personnel receive training</v>
      </c>
      <c r="CK73" t="str">
        <f t="shared" si="105"/>
        <v>Assessment</v>
      </c>
      <c r="CL73" t="str">
        <f t="shared" si="106"/>
        <v>4.2.2.AY</v>
      </c>
      <c r="CM73" t="str">
        <f>IF(AND(CI73&lt;&gt;"",LEFT(CI73,1)&lt;&gt;"#"),IF(LEFT(CI73,1)="-",REPLACE(CI73,1,1,tech!$H$2),CI73),"")</f>
        <v>• Training is provided in accordance with the Training plan</v>
      </c>
      <c r="CN73" t="s">
        <v>495</v>
      </c>
      <c r="CO73" s="492" t="s">
        <v>1369</v>
      </c>
      <c r="CP73" t="str">
        <f t="shared" si="107"/>
        <v>Disclose PKI information</v>
      </c>
      <c r="CQ73" t="str">
        <f t="shared" si="108"/>
        <v>References</v>
      </c>
      <c r="CR73" t="str">
        <f t="shared" si="109"/>
        <v>4.3.2.RY</v>
      </c>
      <c r="CS73" t="str">
        <f>IF(AND(CO73&lt;&gt;"",LEFT(CO73,1)&lt;&gt;"#"),IF(LEFT(CO73,1)="-",REPLACE(CO73,1,1,tech!$H$2),CO73),"")</f>
        <v>• [RFC 3647 Internet X.509 Public Key Infrastructure Certificate Policy and Certification Practices Framework](https://datatracker.ietf.org/doc/html/rfc3647)</v>
      </c>
      <c r="CT73" t="s">
        <v>495</v>
      </c>
    </row>
    <row r="74" spans="3:98" x14ac:dyDescent="0.25">
      <c r="C74" s="492"/>
      <c r="D74" t="str">
        <f t="shared" si="64"/>
        <v>Managed</v>
      </c>
      <c r="E74" t="str">
        <f t="shared" si="110"/>
        <v>Associated risks</v>
      </c>
      <c r="F74" t="str">
        <f>_xlfn.CONCAT(VLOOKUP(D74,tech!$A$13:$B$17,2,0),LEFT(E74,1),IF(G74="","X","Y"))</f>
        <v>4AX</v>
      </c>
      <c r="G74" t="str">
        <f>IF(IF(LEFT(C74,1)="-",C74,"")="","",REPLACE(IF(LEFT(C74,1)="-",C74,""),1,1,tech!$H$2))</f>
        <v/>
      </c>
      <c r="H74" t="s">
        <v>495</v>
      </c>
      <c r="I74" s="492" t="s">
        <v>513</v>
      </c>
      <c r="J74" t="str">
        <f t="shared" si="65"/>
        <v>Scope and business drivers for PKI</v>
      </c>
      <c r="K74" t="str">
        <f t="shared" si="66"/>
        <v>References</v>
      </c>
      <c r="L74" t="str">
        <f t="shared" si="67"/>
        <v>1.1.3.RY</v>
      </c>
      <c r="M74" t="str">
        <f>IF(AND(I74&lt;&gt;"",LEFT(I74,1)&lt;&gt;"#"),IF(LEFT(I74,1)="-",REPLACE(I74,1,1,tech!$H$2),I74),"")</f>
        <v>• [The Open Group Architecture Framework (TOGAF)](https://www.opengroup.org/togaf)</v>
      </c>
      <c r="N74" t="s">
        <v>495</v>
      </c>
      <c r="O74" s="492"/>
      <c r="P74" t="str">
        <f t="shared" si="68"/>
        <v>Certificate policy is documented and published</v>
      </c>
      <c r="Q74" t="str">
        <f t="shared" si="69"/>
        <v>Assessment</v>
      </c>
      <c r="R74" t="str">
        <f t="shared" si="70"/>
        <v>1.2.2.AX</v>
      </c>
      <c r="S74" t="str">
        <f>IF(AND(O74&lt;&gt;"",LEFT(O74,1)&lt;&gt;"#"),IF(LEFT(O74,1)="-",REPLACE(O74,1,1,tech!$H$2),O74),"")</f>
        <v/>
      </c>
      <c r="T74" t="s">
        <v>495</v>
      </c>
      <c r="U74" s="492"/>
      <c r="V74" t="str">
        <f t="shared" si="71"/>
        <v>Responsibilities for the compliance are formally defined and assigned</v>
      </c>
      <c r="W74" t="str">
        <f t="shared" si="72"/>
        <v>Guidance</v>
      </c>
      <c r="X74" t="str">
        <f t="shared" si="73"/>
        <v>1.3.3.GX</v>
      </c>
      <c r="Y74" t="str">
        <f>IF(AND(U74&lt;&gt;"",LEFT(U74,1)&lt;&gt;"#"),IF(LEFT(U74,1)="-",REPLACE(U74,1,1,tech!$H$2),U74),"")</f>
        <v/>
      </c>
      <c r="Z74" t="s">
        <v>495</v>
      </c>
      <c r="AA74" s="492" t="s">
        <v>688</v>
      </c>
      <c r="AB74" t="str">
        <f t="shared" si="74"/>
        <v>Recurring activities are executed on time</v>
      </c>
      <c r="AC74" t="str">
        <f t="shared" si="75"/>
        <v>Assessment</v>
      </c>
      <c r="AD74" t="str">
        <f t="shared" si="76"/>
        <v>1.4.3.AY</v>
      </c>
      <c r="AE74" t="str">
        <f>IF(AND(AA74&lt;&gt;"",LEFT(AA74,1)&lt;&gt;"#"),IF(LEFT(AA74,1)="-",REPLACE(AA74,1,1,tech!$H$2),AA74),"")</f>
        <v>• Documented business as usual activities</v>
      </c>
      <c r="AF74" t="s">
        <v>495</v>
      </c>
      <c r="AG74" s="492"/>
      <c r="AH74" t="str">
        <f t="shared" si="77"/>
        <v>Inventory of cryptographic devices is documented and maintained</v>
      </c>
      <c r="AI74" t="str">
        <f t="shared" si="78"/>
        <v>Guidance</v>
      </c>
      <c r="AJ74" t="str">
        <f t="shared" si="79"/>
        <v>2.1.3.GY</v>
      </c>
      <c r="AK74" t="str">
        <f>IF(AND(AG74&lt;&gt;"",LEFT(AG74,1)&lt;&gt;"#"),IF(LEFT(AG74,1)="-",REPLACE(AG74,1,1,tech!$H$2),AG74),"")</f>
        <v/>
      </c>
      <c r="AL74" t="s">
        <v>495</v>
      </c>
      <c r="AM74" s="492"/>
      <c r="AN74" t="str">
        <f t="shared" si="80"/>
        <v>Certificate lifecycle management is documented</v>
      </c>
      <c r="AO74" t="str">
        <f t="shared" si="81"/>
        <v>Guidance</v>
      </c>
      <c r="AP74" t="str">
        <f t="shared" si="82"/>
        <v>2.2.3.GX</v>
      </c>
      <c r="AQ74" t="str">
        <f>IF(AND(AM74&lt;&gt;"",LEFT(AM74,1)&lt;&gt;"#"),IF(LEFT(AM74,1)="-",REPLACE(AM74,1,1,tech!$H$2),AM74),"")</f>
        <v/>
      </c>
      <c r="AR74" t="s">
        <v>495</v>
      </c>
      <c r="AS74" s="492" t="s">
        <v>504</v>
      </c>
      <c r="AT74" t="str">
        <f t="shared" si="83"/>
        <v>Separation and segmentation principles are applied</v>
      </c>
      <c r="AU74" t="str">
        <f t="shared" si="84"/>
        <v>References</v>
      </c>
      <c r="AV74" t="str">
        <f t="shared" si="85"/>
        <v>2.3.2.RY</v>
      </c>
      <c r="AW74" t="str">
        <f>IF(AND(AS74&lt;&gt;"",LEFT(AS74,1)&lt;&gt;"#"),IF(LEFT(AS74,1)="-",REPLACE(AS74,1,1,tech!$H$2),AS74),"")</f>
        <v>• [ISO/IEC 27001 - Information security management systems](https://www.iso.org/standard/54534.html)</v>
      </c>
      <c r="AX74" t="s">
        <v>495</v>
      </c>
      <c r="AY74" s="492" t="s">
        <v>1001</v>
      </c>
      <c r="AZ74" t="str">
        <f t="shared" si="86"/>
        <v>Request for change structure is documented and followed</v>
      </c>
      <c r="BA74" t="str">
        <f t="shared" si="87"/>
        <v>Assessment</v>
      </c>
      <c r="BB74" t="str">
        <f t="shared" si="88"/>
        <v>2.4.2.AY</v>
      </c>
      <c r="BC74" t="str">
        <f>IF(AND(AY74&lt;&gt;"",LEFT(AY74,1)&lt;&gt;"#"),IF(LEFT(AY74,1)="-",REPLACE(AY74,1,1,tech!$H$2),AY74),"")</f>
        <v>• Review implemented changes and compare with the request for change</v>
      </c>
      <c r="BD74" t="s">
        <v>495</v>
      </c>
      <c r="BE74" s="492" t="s">
        <v>1032</v>
      </c>
      <c r="BF74" t="str">
        <f t="shared" si="89"/>
        <v>Business continuity planning and disaster recovery</v>
      </c>
      <c r="BG74" t="str">
        <f t="shared" si="90"/>
        <v>Guidance</v>
      </c>
      <c r="BH74" t="str">
        <f t="shared" si="91"/>
        <v>3.1.3.GY</v>
      </c>
      <c r="BI74" t="str">
        <f>IF(AND(BE74&lt;&gt;"",LEFT(BE74,1)&lt;&gt;"#"),IF(LEFT(BE74,1)="-",REPLACE(BE74,1,1,tech!$H$2),BE74),"")</f>
        <v>Requirements for the business continuity and disaster recovery should be properly defined. It contains backups of the PKI resources, such as hardware security modules (HSM), databases, configuration files, etc. The availability of backups should be tested regularly to ensure that the backups are available when needed, especially during the disaster.</v>
      </c>
      <c r="BJ74" t="s">
        <v>495</v>
      </c>
      <c r="BK74" s="492" t="s">
        <v>1100</v>
      </c>
      <c r="BL74" t="str">
        <f t="shared" si="92"/>
        <v>Adoption and application of open standards</v>
      </c>
      <c r="BM74" t="str">
        <f t="shared" si="93"/>
        <v>Guidance</v>
      </c>
      <c r="BN74" t="str">
        <f t="shared" si="94"/>
        <v>3.2.3.GY</v>
      </c>
      <c r="BO74" t="str">
        <f>IF(AND(BK74&lt;&gt;"",LEFT(BK74,1)&lt;&gt;"#"),IF(LEFT(BK74,1)="-",REPLACE(BK74,1,1,tech!$H$2),BK74),"")</f>
        <v>Open standards are publicly available standards that are developed and maintained by communities or standardization bodies. Open standards are developed through a consensus-based process and are available to everyone without any restrictions. Open standards are usually free to use and implement.</v>
      </c>
      <c r="BP74" t="s">
        <v>495</v>
      </c>
      <c r="BQ74" s="492"/>
      <c r="BR74" t="str">
        <f t="shared" si="95"/>
        <v>Event logs from systems are collected</v>
      </c>
      <c r="BS74" t="str">
        <f t="shared" si="96"/>
        <v>References</v>
      </c>
      <c r="BT74" t="str">
        <f t="shared" si="97"/>
        <v>3.3.2.RX</v>
      </c>
      <c r="BU74" t="str">
        <f>IF(AND(BQ74&lt;&gt;"",LEFT(BQ74,1)&lt;&gt;"#"),IF(LEFT(BQ74,1)="-",REPLACE(BQ74,1,1,tech!$H$2),BQ74),"")</f>
        <v/>
      </c>
      <c r="BV74" t="s">
        <v>495</v>
      </c>
      <c r="BW74" s="492"/>
      <c r="BX74" t="str">
        <f t="shared" si="98"/>
        <v>Incidents and exceptions handling</v>
      </c>
      <c r="BY74" t="str">
        <f t="shared" si="99"/>
        <v>Guidance</v>
      </c>
      <c r="BZ74" t="str">
        <f t="shared" si="100"/>
        <v>3.4.3.GY</v>
      </c>
      <c r="CA74" t="str">
        <f>IF(AND(BW74&lt;&gt;"",LEFT(BW74,1)&lt;&gt;"#"),IF(LEFT(BW74,1)="-",REPLACE(BW74,1,1,tech!$H$2),BW74),"")</f>
        <v/>
      </c>
      <c r="CB74" t="s">
        <v>495</v>
      </c>
      <c r="CC74" s="492" t="s">
        <v>1279</v>
      </c>
      <c r="CD74" t="str">
        <f t="shared" si="101"/>
        <v>Availability of resources</v>
      </c>
      <c r="CE74" t="str">
        <f t="shared" si="102"/>
        <v>Assessment</v>
      </c>
      <c r="CF74" t="str">
        <f t="shared" si="103"/>
        <v>4.1.3.AY</v>
      </c>
      <c r="CG74" t="str">
        <f>IF(AND(CC74&lt;&gt;"",LEFT(CC74,1)&lt;&gt;"#"),IF(LEFT(CC74,1)="-",REPLACE(CC74,1,1,tech!$H$2),CC74),"")</f>
        <v>• Utilization and performance of the services</v>
      </c>
      <c r="CH74" t="s">
        <v>495</v>
      </c>
      <c r="CI74" s="492" t="s">
        <v>1341</v>
      </c>
      <c r="CJ74" t="str">
        <f t="shared" si="104"/>
        <v>Responsible personnel receive training</v>
      </c>
      <c r="CK74" t="str">
        <f t="shared" si="105"/>
        <v>Assessment</v>
      </c>
      <c r="CL74" t="str">
        <f t="shared" si="106"/>
        <v>4.2.2.AY</v>
      </c>
      <c r="CM74" t="str">
        <f>IF(AND(CI74&lt;&gt;"",LEFT(CI74,1)&lt;&gt;"#"),IF(LEFT(CI74,1)="-",REPLACE(CI74,1,1,tech!$H$2),CI74),"")</f>
        <v>• Training Completeness</v>
      </c>
      <c r="CN74" t="s">
        <v>495</v>
      </c>
      <c r="CO74" s="492" t="s">
        <v>519</v>
      </c>
      <c r="CP74" t="str">
        <f t="shared" si="107"/>
        <v>Disclose PKI information</v>
      </c>
      <c r="CQ74" t="str">
        <f t="shared" si="108"/>
        <v>References</v>
      </c>
      <c r="CR74" t="str">
        <f t="shared" si="109"/>
        <v>4.3.2.RY</v>
      </c>
      <c r="CS74" t="str">
        <f>IF(AND(CO74&lt;&gt;"",LEFT(CO74,1)&lt;&gt;"#"),IF(LEFT(CO74,1)="-",REPLACE(CO74,1,1,tech!$H$2),CO74),"")</f>
        <v>• [ETSI EN 319 401 - General Policy Requirements for Trust Service Providers](https://www.etsi.org/deliver/etsi_en/319400_319499/319401/02.03.01_60/en_319401v020301p.pdf)</v>
      </c>
      <c r="CT74" t="s">
        <v>495</v>
      </c>
    </row>
    <row r="75" spans="3:98" x14ac:dyDescent="0.25">
      <c r="C75" s="492" t="s">
        <v>453</v>
      </c>
      <c r="D75" t="str">
        <f t="shared" si="64"/>
        <v>Optimized</v>
      </c>
      <c r="E75" t="str">
        <f t="shared" si="110"/>
        <v>Associated risks</v>
      </c>
      <c r="F75" t="str">
        <f>_xlfn.CONCAT(VLOOKUP(D75,tech!$A$13:$B$17,2,0),LEFT(E75,1),IF(G75="","X","Y"))</f>
        <v>5AX</v>
      </c>
      <c r="G75" t="str">
        <f>IF(IF(LEFT(C75,1)="-",C75,"")="","",REPLACE(IF(LEFT(C75,1)="-",C75,""),1,1,tech!$H$2))</f>
        <v/>
      </c>
      <c r="H75" t="s">
        <v>495</v>
      </c>
      <c r="I75" s="492"/>
      <c r="J75" t="str">
        <f>IF(AND(LEFT(I75,1)="#",IFERROR(LEN(_xlfn.TEXTBEFORE(I75," "))=3,0)),_xlfn.TEXTAFTER(I75," "),J74)</f>
        <v>Scope and business drivers for PKI</v>
      </c>
      <c r="K75" t="str">
        <f t="shared" si="66"/>
        <v>References</v>
      </c>
      <c r="L75" t="str">
        <f t="shared" si="67"/>
        <v>1.1.3.RX</v>
      </c>
      <c r="M75" t="str">
        <f>IF(AND(I75&lt;&gt;"",LEFT(I75,1)&lt;&gt;"#"),IF(LEFT(I75,1)="-",REPLACE(I75,1,1,tech!$H$2),I75),"")</f>
        <v/>
      </c>
      <c r="N75" t="s">
        <v>495</v>
      </c>
      <c r="O75" s="492" t="s">
        <v>503</v>
      </c>
      <c r="P75" t="str">
        <f>IF(AND(LEFT(O75,1)="#",IFERROR(LEN(_xlfn.TEXTBEFORE(O75," "))=3,0)),_xlfn.TEXTAFTER(O75," "),P74)</f>
        <v>Certificate policy is documented and published</v>
      </c>
      <c r="Q75" t="str">
        <f t="shared" si="69"/>
        <v>References</v>
      </c>
      <c r="R75" t="str">
        <f t="shared" si="70"/>
        <v>1.2.2.RX</v>
      </c>
      <c r="S75" t="str">
        <f>IF(AND(O75&lt;&gt;"",LEFT(O75,1)&lt;&gt;"#"),IF(LEFT(O75,1)="-",REPLACE(O75,1,1,tech!$H$2),O75),"")</f>
        <v/>
      </c>
      <c r="T75" t="s">
        <v>495</v>
      </c>
      <c r="U75" s="492" t="s">
        <v>501</v>
      </c>
      <c r="V75" t="str">
        <f>IF(AND(LEFT(U75,1)="#",IFERROR(LEN(_xlfn.TEXTBEFORE(U75," "))=3,0)),_xlfn.TEXTAFTER(U75," "),V74)</f>
        <v>Responsibilities for the compliance are formally defined and assigned</v>
      </c>
      <c r="W75" t="str">
        <f t="shared" si="72"/>
        <v>Assessment</v>
      </c>
      <c r="X75" t="str">
        <f t="shared" si="73"/>
        <v>1.3.3.AX</v>
      </c>
      <c r="Y75" t="str">
        <f>IF(AND(U75&lt;&gt;"",LEFT(U75,1)&lt;&gt;"#"),IF(LEFT(U75,1)="-",REPLACE(U75,1,1,tech!$H$2),U75),"")</f>
        <v/>
      </c>
      <c r="Z75" t="s">
        <v>495</v>
      </c>
      <c r="AA75" s="492" t="s">
        <v>689</v>
      </c>
      <c r="AB75" t="str">
        <f>IF(AND(LEFT(AA75,1)="#",IFERROR(LEN(_xlfn.TEXTBEFORE(AA75," "))=3,0)),_xlfn.TEXTAFTER(AA75," "),AB74)</f>
        <v>Recurring activities are executed on time</v>
      </c>
      <c r="AC75" t="str">
        <f t="shared" si="75"/>
        <v>Assessment</v>
      </c>
      <c r="AD75" t="str">
        <f t="shared" si="76"/>
        <v>1.4.3.AY</v>
      </c>
      <c r="AE75" t="str">
        <f>IF(AND(AA75&lt;&gt;"",LEFT(AA75,1)&lt;&gt;"#"),IF(LEFT(AA75,1)="-",REPLACE(AA75,1,1,tech!$H$2),AA75),"")</f>
        <v>• Evidence of the business as usual activities execution</v>
      </c>
      <c r="AF75" t="s">
        <v>495</v>
      </c>
      <c r="AG75" s="492" t="s">
        <v>718</v>
      </c>
      <c r="AH75" t="str">
        <f>IF(AND(LEFT(AG75,1)="#",IFERROR(LEN(_xlfn.TEXTBEFORE(AG75," "))=3,0)),_xlfn.TEXTAFTER(AG75," "),AH74)</f>
        <v>Inventory of cryptographic devices is documented and maintained</v>
      </c>
      <c r="AI75" t="str">
        <f t="shared" si="78"/>
        <v>Guidance</v>
      </c>
      <c r="AJ75" t="str">
        <f t="shared" si="79"/>
        <v>2.1.3.GY</v>
      </c>
      <c r="AK75" t="str">
        <f>IF(AND(AG75&lt;&gt;"",LEFT(AG75,1)&lt;&gt;"#"),IF(LEFT(AG75,1)="-",REPLACE(AG75,1,1,tech!$H$2),AG75),"")</f>
        <v>The approved ways of protecting cryptographic keys should have defined rules, which can be specified by the key management policy and followed using the key management procedures. Cryptographic devices that protect keys may be quickly identified using the inventory of cryptographic keys with reference to an inventory of cryptographic devices.</v>
      </c>
      <c r="AL75" t="s">
        <v>495</v>
      </c>
      <c r="AM75" s="492" t="s">
        <v>809</v>
      </c>
      <c r="AN75" t="str">
        <f>IF(AND(LEFT(AM75,1)="#",IFERROR(LEN(_xlfn.TEXTBEFORE(AM75," "))=3,0)),_xlfn.TEXTAFTER(AM75," "),AN74)</f>
        <v>Certificate lifecycle management is documented</v>
      </c>
      <c r="AO75" t="str">
        <f t="shared" si="81"/>
        <v>Guidance</v>
      </c>
      <c r="AP75" t="str">
        <f t="shared" si="82"/>
        <v>2.2.3.GY</v>
      </c>
      <c r="AQ75" t="str">
        <f>IF(AND(AM75&lt;&gt;"",LEFT(AM75,1)&lt;&gt;"#"),IF(LEFT(AM75,1)="-",REPLACE(AM75,1,1,tech!$H$2),AM75),"")</f>
        <v>Issuance of certificates follow specific procedures, be it manual processes or automated processes using standard or non-standard PKI protocol. An organization should be clear about the full life cycle management of certificates:</v>
      </c>
      <c r="AR75" t="s">
        <v>495</v>
      </c>
      <c r="AS75" s="492"/>
      <c r="AT75" t="str">
        <f>IF(AND(LEFT(AS75,1)="#",IFERROR(LEN(_xlfn.TEXTBEFORE(AS75," "))=3,0)),_xlfn.TEXTAFTER(AS75," "),AT74)</f>
        <v>Separation and segmentation principles are applied</v>
      </c>
      <c r="AU75" t="str">
        <f t="shared" si="84"/>
        <v>References</v>
      </c>
      <c r="AV75" t="str">
        <f t="shared" si="85"/>
        <v>2.3.2.RX</v>
      </c>
      <c r="AW75" t="str">
        <f>IF(AND(AS75&lt;&gt;"",LEFT(AS75,1)&lt;&gt;"#"),IF(LEFT(AS75,1)="-",REPLACE(AS75,1,1,tech!$H$2),AS75),"")</f>
        <v/>
      </c>
      <c r="AX75" t="s">
        <v>495</v>
      </c>
      <c r="AY75" s="492"/>
      <c r="AZ75" t="str">
        <f>IF(AND(LEFT(AY75,1)="#",IFERROR(LEN(_xlfn.TEXTBEFORE(AY75," "))=3,0)),_xlfn.TEXTAFTER(AY75," "),AZ74)</f>
        <v>Request for change structure is documented and followed</v>
      </c>
      <c r="BA75" t="str">
        <f t="shared" si="87"/>
        <v>Assessment</v>
      </c>
      <c r="BB75" t="str">
        <f t="shared" si="88"/>
        <v>2.4.2.AX</v>
      </c>
      <c r="BC75" t="str">
        <f>IF(AND(AY75&lt;&gt;"",LEFT(AY75,1)&lt;&gt;"#"),IF(LEFT(AY75,1)="-",REPLACE(AY75,1,1,tech!$H$2),AY75),"")</f>
        <v/>
      </c>
      <c r="BD75" t="s">
        <v>495</v>
      </c>
      <c r="BE75" s="492"/>
      <c r="BF75" t="str">
        <f>IF(AND(LEFT(BE75,1)="#",IFERROR(LEN(_xlfn.TEXTBEFORE(BE75," "))=3,0)),_xlfn.TEXTAFTER(BE75," "),BF74)</f>
        <v>Business continuity planning and disaster recovery</v>
      </c>
      <c r="BG75" t="str">
        <f t="shared" si="90"/>
        <v>Guidance</v>
      </c>
      <c r="BH75" t="str">
        <f t="shared" si="91"/>
        <v>3.1.3.GY</v>
      </c>
      <c r="BI75" t="str">
        <f>IF(AND(BE75&lt;&gt;"",LEFT(BE75,1)&lt;&gt;"#"),IF(LEFT(BE75,1)="-",REPLACE(BE75,1,1,tech!$H$2),BE75),"")</f>
        <v/>
      </c>
      <c r="BJ75" t="s">
        <v>495</v>
      </c>
      <c r="BK75" s="492"/>
      <c r="BL75" t="str">
        <f>IF(AND(LEFT(BK75,1)="#",IFERROR(LEN(_xlfn.TEXTBEFORE(BK75," "))=3,0)),_xlfn.TEXTAFTER(BK75," "),BL74)</f>
        <v>Adoption and application of open standards</v>
      </c>
      <c r="BM75" t="str">
        <f t="shared" si="93"/>
        <v>Guidance</v>
      </c>
      <c r="BN75" t="str">
        <f t="shared" si="94"/>
        <v>3.2.3.GY</v>
      </c>
      <c r="BO75" t="str">
        <f>IF(AND(BK75&lt;&gt;"",LEFT(BK75,1)&lt;&gt;"#"),IF(LEFT(BK75,1)="-",REPLACE(BK75,1,1,tech!$H$2),BK75),"")</f>
        <v/>
      </c>
      <c r="BP75" t="s">
        <v>495</v>
      </c>
      <c r="BQ75" s="492" t="s">
        <v>504</v>
      </c>
      <c r="BR75" t="str">
        <f>IF(AND(LEFT(BQ75,1)="#",IFERROR(LEN(_xlfn.TEXTBEFORE(BQ75," "))=3,0)),_xlfn.TEXTAFTER(BQ75," "),BR74)</f>
        <v>Event logs from systems are collected</v>
      </c>
      <c r="BS75" t="str">
        <f t="shared" si="96"/>
        <v>References</v>
      </c>
      <c r="BT75" t="str">
        <f t="shared" si="97"/>
        <v>3.3.2.RY</v>
      </c>
      <c r="BU75" t="str">
        <f>IF(AND(BQ75&lt;&gt;"",LEFT(BQ75,1)&lt;&gt;"#"),IF(LEFT(BQ75,1)="-",REPLACE(BQ75,1,1,tech!$H$2),BQ75),"")</f>
        <v>• [ISO/IEC 27001 - Information security management systems](https://www.iso.org/standard/54534.html)</v>
      </c>
      <c r="BV75" t="s">
        <v>495</v>
      </c>
      <c r="BW75" s="492" t="s">
        <v>1224</v>
      </c>
      <c r="BX75" t="str">
        <f>IF(AND(LEFT(BW75,1)="#",IFERROR(LEN(_xlfn.TEXTBEFORE(BW75," "))=3,0)),_xlfn.TEXTAFTER(BW75," "),BX74)</f>
        <v>Incidents and exceptions handling</v>
      </c>
      <c r="BY75" t="str">
        <f t="shared" si="99"/>
        <v>Guidance</v>
      </c>
      <c r="BZ75" t="str">
        <f t="shared" si="100"/>
        <v>3.4.3.GY</v>
      </c>
      <c r="CA75" t="str">
        <f>IF(AND(BW75&lt;&gt;"",LEFT(BW75,1)&lt;&gt;"#"),IF(LEFT(BW75,1)="-",REPLACE(BW75,1,1,tech!$H$2),BW75),"")</f>
        <v xml:space="preserve">It may happen that some certificates are required to be handled manually and therefore the exception should be approved and documented. </v>
      </c>
      <c r="CB75" t="s">
        <v>495</v>
      </c>
      <c r="CC75" s="492"/>
      <c r="CD75" t="str">
        <f>IF(AND(LEFT(CC75,1)="#",IFERROR(LEN(_xlfn.TEXTBEFORE(CC75," "))=3,0)),_xlfn.TEXTAFTER(CC75," "),CD74)</f>
        <v>Availability of resources</v>
      </c>
      <c r="CE75" t="str">
        <f t="shared" si="102"/>
        <v>Assessment</v>
      </c>
      <c r="CF75" t="str">
        <f t="shared" si="103"/>
        <v>4.1.3.AX</v>
      </c>
      <c r="CG75" t="str">
        <f>IF(AND(CC75&lt;&gt;"",LEFT(CC75,1)&lt;&gt;"#"),IF(LEFT(CC75,1)="-",REPLACE(CC75,1,1,tech!$H$2),CC75),"")</f>
        <v/>
      </c>
      <c r="CH75" t="s">
        <v>495</v>
      </c>
      <c r="CI75" s="492"/>
      <c r="CJ75" t="str">
        <f>IF(AND(LEFT(CI75,1)="#",IFERROR(LEN(_xlfn.TEXTBEFORE(CI75," "))=3,0)),_xlfn.TEXTAFTER(CI75," "),CJ74)</f>
        <v>Responsible personnel receive training</v>
      </c>
      <c r="CK75" t="str">
        <f t="shared" si="105"/>
        <v>Assessment</v>
      </c>
      <c r="CL75" t="str">
        <f t="shared" si="106"/>
        <v>4.2.2.AX</v>
      </c>
      <c r="CM75" t="str">
        <f>IF(AND(CI75&lt;&gt;"",LEFT(CI75,1)&lt;&gt;"#"),IF(LEFT(CI75,1)="-",REPLACE(CI75,1,1,tech!$H$2),CI75),"")</f>
        <v/>
      </c>
      <c r="CN75" t="s">
        <v>495</v>
      </c>
      <c r="CO75" s="492"/>
      <c r="CP75" t="str">
        <f>IF(AND(LEFT(CO75,1)="#",IFERROR(LEN(_xlfn.TEXTBEFORE(CO75," "))=3,0)),_xlfn.TEXTAFTER(CO75," "),CP74)</f>
        <v>Disclose PKI information</v>
      </c>
      <c r="CQ75" t="str">
        <f t="shared" si="108"/>
        <v>References</v>
      </c>
      <c r="CR75" t="str">
        <f t="shared" si="109"/>
        <v>4.3.2.RX</v>
      </c>
      <c r="CS75" t="str">
        <f>IF(AND(CO75&lt;&gt;"",LEFT(CO75,1)&lt;&gt;"#"),IF(LEFT(CO75,1)="-",REPLACE(CO75,1,1,tech!$H$2),CO75),"")</f>
        <v/>
      </c>
      <c r="CT75" t="s">
        <v>495</v>
      </c>
    </row>
    <row r="76" spans="3:98" x14ac:dyDescent="0.25">
      <c r="C76" s="492"/>
      <c r="D76" t="str">
        <f t="shared" si="64"/>
        <v>Optimized</v>
      </c>
      <c r="E76" t="str">
        <f t="shared" si="110"/>
        <v>Associated risks</v>
      </c>
      <c r="F76" t="str">
        <f>_xlfn.CONCAT(VLOOKUP(D76,tech!$A$13:$B$17,2,0),LEFT(E76,1),IF(G76="","X","Y"))</f>
        <v>5AX</v>
      </c>
      <c r="G76" t="str">
        <f>IF(IF(LEFT(C76,1)="-",C76,"")="","",REPLACE(IF(LEFT(C76,1)="-",C76,""),1,1,tech!$H$2))</f>
        <v/>
      </c>
      <c r="H76" t="s">
        <v>495</v>
      </c>
      <c r="I76" s="492" t="s">
        <v>514</v>
      </c>
      <c r="J76" t="str">
        <f t="shared" si="65"/>
        <v>Architecture and design of the PKI</v>
      </c>
      <c r="K76" t="str">
        <f t="shared" si="66"/>
        <v>References</v>
      </c>
      <c r="L76" t="str">
        <f t="shared" si="67"/>
        <v>1.1.4.RX</v>
      </c>
      <c r="M76" t="str">
        <f>IF(AND(I76&lt;&gt;"",LEFT(I76,1)&lt;&gt;"#"),IF(LEFT(I76,1)="-",REPLACE(I76,1,1,tech!$H$2),I76),"")</f>
        <v/>
      </c>
      <c r="N76" t="s">
        <v>495</v>
      </c>
      <c r="O76" s="492"/>
      <c r="P76" t="str">
        <f t="shared" ref="P76:P111" si="111">IF(AND(LEFT(O76,1)="#",IFERROR(LEN(_xlfn.TEXTBEFORE(O76," "))=3,0)),_xlfn.TEXTAFTER(O76," "),P75)</f>
        <v>Certificate policy is documented and published</v>
      </c>
      <c r="Q76" t="str">
        <f t="shared" si="69"/>
        <v>References</v>
      </c>
      <c r="R76" t="str">
        <f t="shared" si="70"/>
        <v>1.2.2.RX</v>
      </c>
      <c r="S76" t="str">
        <f>IF(AND(O76&lt;&gt;"",LEFT(O76,1)&lt;&gt;"#"),IF(LEFT(O76,1)="-",REPLACE(O76,1,1,tech!$H$2),O76),"")</f>
        <v/>
      </c>
      <c r="T76" t="s">
        <v>495</v>
      </c>
      <c r="U76" s="492"/>
      <c r="V76" t="str">
        <f t="shared" ref="V76:V111" si="112">IF(AND(LEFT(U76,1)="#",IFERROR(LEN(_xlfn.TEXTBEFORE(U76," "))=3,0)),_xlfn.TEXTAFTER(U76," "),V75)</f>
        <v>Responsibilities for the compliance are formally defined and assigned</v>
      </c>
      <c r="W76" t="str">
        <f t="shared" si="72"/>
        <v>Assessment</v>
      </c>
      <c r="X76" t="str">
        <f t="shared" si="73"/>
        <v>1.3.3.AX</v>
      </c>
      <c r="Y76" t="str">
        <f>IF(AND(U76&lt;&gt;"",LEFT(U76,1)&lt;&gt;"#"),IF(LEFT(U76,1)="-",REPLACE(U76,1,1,tech!$H$2),U76),"")</f>
        <v/>
      </c>
      <c r="Z76" t="s">
        <v>495</v>
      </c>
      <c r="AA76" s="492" t="s">
        <v>690</v>
      </c>
      <c r="AB76" t="str">
        <f t="shared" ref="AB76:AB111" si="113">IF(AND(LEFT(AA76,1)="#",IFERROR(LEN(_xlfn.TEXTBEFORE(AA76," "))=3,0)),_xlfn.TEXTAFTER(AA76," "),AB75)</f>
        <v>Recurring activities are executed on time</v>
      </c>
      <c r="AC76" t="str">
        <f t="shared" si="75"/>
        <v>Assessment</v>
      </c>
      <c r="AD76" t="str">
        <f t="shared" si="76"/>
        <v>1.4.3.AY</v>
      </c>
      <c r="AE76" t="str">
        <f>IF(AND(AA76&lt;&gt;"",LEFT(AA76,1)&lt;&gt;"#"),IF(LEFT(AA76,1)="-",REPLACE(AA76,1,1,tech!$H$2),AA76),"")</f>
        <v>• business as usual activities tracking and Reporting</v>
      </c>
      <c r="AF76" t="s">
        <v>495</v>
      </c>
      <c r="AG76" s="492"/>
      <c r="AH76" t="str">
        <f t="shared" ref="AH76:AH111" si="114">IF(AND(LEFT(AG76,1)="#",IFERROR(LEN(_xlfn.TEXTBEFORE(AG76," "))=3,0)),_xlfn.TEXTAFTER(AG76," "),AH75)</f>
        <v>Inventory of cryptographic devices is documented and maintained</v>
      </c>
      <c r="AI76" t="str">
        <f t="shared" si="78"/>
        <v>Guidance</v>
      </c>
      <c r="AJ76" t="str">
        <f t="shared" si="79"/>
        <v>2.1.3.GY</v>
      </c>
      <c r="AK76" t="str">
        <f>IF(AND(AG76&lt;&gt;"",LEFT(AG76,1)&lt;&gt;"#"),IF(LEFT(AG76,1)="-",REPLACE(AG76,1,1,tech!$H$2),AG76),"")</f>
        <v/>
      </c>
      <c r="AL76" t="s">
        <v>495</v>
      </c>
      <c r="AM76" s="492" t="s">
        <v>810</v>
      </c>
      <c r="AN76" t="str">
        <f t="shared" ref="AN76:AN111" si="115">IF(AND(LEFT(AM76,1)="#",IFERROR(LEN(_xlfn.TEXTBEFORE(AM76," "))=3,0)),_xlfn.TEXTAFTER(AM76," "),AN75)</f>
        <v>Certificate lifecycle management is documented</v>
      </c>
      <c r="AO76" t="str">
        <f t="shared" si="81"/>
        <v>Guidance</v>
      </c>
      <c r="AP76" t="str">
        <f t="shared" si="82"/>
        <v>2.2.3.GY</v>
      </c>
      <c r="AQ76" t="str">
        <f>IF(AND(AM76&lt;&gt;"",LEFT(AM76,1)&lt;&gt;"#"),IF(LEFT(AM76,1)="-",REPLACE(AM76,1,1,tech!$H$2),AM76),"")</f>
        <v>1. Certificate Application and the validation procedures used, by RAs and CAs</v>
      </c>
      <c r="AR76" t="s">
        <v>495</v>
      </c>
      <c r="AS76" s="492" t="s">
        <v>903</v>
      </c>
      <c r="AT76" t="str">
        <f t="shared" ref="AT76:AT111" si="116">IF(AND(LEFT(AS76,1)="#",IFERROR(LEN(_xlfn.TEXTBEFORE(AS76," "))=3,0)),_xlfn.TEXTAFTER(AS76," "),AT75)</f>
        <v>Network vulnerability management is implemented and maintained</v>
      </c>
      <c r="AU76" t="str">
        <f t="shared" si="84"/>
        <v>References</v>
      </c>
      <c r="AV76" t="str">
        <f t="shared" si="85"/>
        <v>2.3.3.RX</v>
      </c>
      <c r="AW76" t="str">
        <f>IF(AND(AS76&lt;&gt;"",LEFT(AS76,1)&lt;&gt;"#"),IF(LEFT(AS76,1)="-",REPLACE(AS76,1,1,tech!$H$2),AS76),"")</f>
        <v/>
      </c>
      <c r="AX76" t="s">
        <v>495</v>
      </c>
      <c r="AY76" s="492" t="s">
        <v>503</v>
      </c>
      <c r="AZ76" t="str">
        <f t="shared" ref="AZ76:AZ111" si="117">IF(AND(LEFT(AY76,1)="#",IFERROR(LEN(_xlfn.TEXTBEFORE(AY76," "))=3,0)),_xlfn.TEXTAFTER(AY76," "),AZ75)</f>
        <v>Request for change structure is documented and followed</v>
      </c>
      <c r="BA76" t="str">
        <f t="shared" si="87"/>
        <v>References</v>
      </c>
      <c r="BB76" t="str">
        <f t="shared" si="88"/>
        <v>2.4.2.RX</v>
      </c>
      <c r="BC76" t="str">
        <f>IF(AND(AY76&lt;&gt;"",LEFT(AY76,1)&lt;&gt;"#"),IF(LEFT(AY76,1)="-",REPLACE(AY76,1,1,tech!$H$2),AY76),"")</f>
        <v/>
      </c>
      <c r="BD76" t="s">
        <v>495</v>
      </c>
      <c r="BE76" s="492" t="s">
        <v>1033</v>
      </c>
      <c r="BF76" t="str">
        <f t="shared" ref="BF76:BF111" si="118">IF(AND(LEFT(BE76,1)="#",IFERROR(LEN(_xlfn.TEXTBEFORE(BE76," "))=3,0)),_xlfn.TEXTAFTER(BE76," "),BF75)</f>
        <v>Business continuity planning and disaster recovery</v>
      </c>
      <c r="BG76" t="str">
        <f t="shared" si="90"/>
        <v>Guidance</v>
      </c>
      <c r="BH76" t="str">
        <f t="shared" si="91"/>
        <v>3.1.3.GY</v>
      </c>
      <c r="BI76" t="str">
        <f>IF(AND(BE76&lt;&gt;"",LEFT(BE76,1)&lt;&gt;"#"),IF(LEFT(BE76,1)="-",REPLACE(BE76,1,1,tech!$H$2),BE76),"")</f>
        <v>Proper measures are applied to identify the disaster and a communication matrix is maintained to ensure that the right people are informed about the disaster on time and the recovery process can be started.</v>
      </c>
      <c r="BJ76" t="s">
        <v>495</v>
      </c>
      <c r="BK76" s="492" t="s">
        <v>1101</v>
      </c>
      <c r="BL76" t="str">
        <f t="shared" ref="BL76:BL111" si="119">IF(AND(LEFT(BK76,1)="#",IFERROR(LEN(_xlfn.TEXTBEFORE(BK76," "))=3,0)),_xlfn.TEXTAFTER(BK76," "),BL75)</f>
        <v>Adoption and application of open standards</v>
      </c>
      <c r="BM76" t="str">
        <f t="shared" si="93"/>
        <v>Guidance</v>
      </c>
      <c r="BN76" t="str">
        <f t="shared" si="94"/>
        <v>3.2.3.GY</v>
      </c>
      <c r="BO76" t="str">
        <f>IF(AND(BK76&lt;&gt;"",LEFT(BK76,1)&lt;&gt;"#"),IF(LEFT(BK76,1)="-",REPLACE(BK76,1,1,tech!$H$2),BK76),"")</f>
        <v>The open standards are important for interoperability as they are typically technology-agnostic and are supported by technologies and solutions. Open standards are applicable for interfaces, communication protocols, cryptographic algorithms, data formats, automation and orchestration, and other aspects of the PKI.</v>
      </c>
      <c r="BP76" t="s">
        <v>495</v>
      </c>
      <c r="BQ76" s="492" t="s">
        <v>896</v>
      </c>
      <c r="BR76" t="str">
        <f t="shared" ref="BR76:BR111" si="120">IF(AND(LEFT(BQ76,1)="#",IFERROR(LEN(_xlfn.TEXTBEFORE(BQ76," "))=3,0)),_xlfn.TEXTAFTER(BQ76," "),BR75)</f>
        <v>Event logs from systems are collected</v>
      </c>
      <c r="BS76" t="str">
        <f t="shared" si="96"/>
        <v>References</v>
      </c>
      <c r="BT76" t="str">
        <f t="shared" si="97"/>
        <v>3.3.2.RY</v>
      </c>
      <c r="BU76" t="str">
        <f>IF(AND(BQ76&lt;&gt;"",LEFT(BQ76,1)&lt;&gt;"#"),IF(LEFT(BQ76,1)="-",REPLACE(BQ76,1,1,tech!$H$2),BQ76),"")</f>
        <v>• [ISO/IEC 20000 and related standards](https://www.iso.org/standard/70636.html)</v>
      </c>
      <c r="BV76" t="s">
        <v>495</v>
      </c>
      <c r="BW76" s="492"/>
      <c r="BX76" t="str">
        <f t="shared" ref="BX76:BX111" si="121">IF(AND(LEFT(BW76,1)="#",IFERROR(LEN(_xlfn.TEXTBEFORE(BW76," "))=3,0)),_xlfn.TEXTAFTER(BW76," "),BX75)</f>
        <v>Incidents and exceptions handling</v>
      </c>
      <c r="BY76" t="str">
        <f t="shared" si="99"/>
        <v>Guidance</v>
      </c>
      <c r="BZ76" t="str">
        <f t="shared" si="100"/>
        <v>3.4.3.GY</v>
      </c>
      <c r="CA76" t="str">
        <f>IF(AND(BW76&lt;&gt;"",LEFT(BW76,1)&lt;&gt;"#"),IF(LEFT(BW76,1)="-",REPLACE(BW76,1,1,tech!$H$2),BW76),"")</f>
        <v/>
      </c>
      <c r="CB76" t="s">
        <v>495</v>
      </c>
      <c r="CC76" s="492" t="s">
        <v>503</v>
      </c>
      <c r="CD76" t="str">
        <f t="shared" ref="CD76:CD111" si="122">IF(AND(LEFT(CC76,1)="#",IFERROR(LEN(_xlfn.TEXTBEFORE(CC76," "))=3,0)),_xlfn.TEXTAFTER(CC76," "),CD75)</f>
        <v>Availability of resources</v>
      </c>
      <c r="CE76" t="str">
        <f t="shared" si="102"/>
        <v>References</v>
      </c>
      <c r="CF76" t="str">
        <f t="shared" si="103"/>
        <v>4.1.3.RX</v>
      </c>
      <c r="CG76" t="str">
        <f>IF(AND(CC76&lt;&gt;"",LEFT(CC76,1)&lt;&gt;"#"),IF(LEFT(CC76,1)="-",REPLACE(CC76,1,1,tech!$H$2),CC76),"")</f>
        <v/>
      </c>
      <c r="CH76" t="s">
        <v>495</v>
      </c>
      <c r="CI76" s="492" t="s">
        <v>503</v>
      </c>
      <c r="CJ76" t="str">
        <f t="shared" ref="CJ76:CJ111" si="123">IF(AND(LEFT(CI76,1)="#",IFERROR(LEN(_xlfn.TEXTBEFORE(CI76," "))=3,0)),_xlfn.TEXTAFTER(CI76," "),CJ75)</f>
        <v>Responsible personnel receive training</v>
      </c>
      <c r="CK76" t="str">
        <f t="shared" si="105"/>
        <v>References</v>
      </c>
      <c r="CL76" t="str">
        <f t="shared" si="106"/>
        <v>4.2.2.RX</v>
      </c>
      <c r="CM76" t="str">
        <f>IF(AND(CI76&lt;&gt;"",LEFT(CI76,1)&lt;&gt;"#"),IF(LEFT(CI76,1)="-",REPLACE(CI76,1,1,tech!$H$2),CI76),"")</f>
        <v/>
      </c>
      <c r="CN76" t="s">
        <v>495</v>
      </c>
      <c r="CO76" s="492" t="s">
        <v>1472</v>
      </c>
      <c r="CP76" t="str">
        <f t="shared" ref="CP76:CP111" si="124">IF(AND(LEFT(CO76,1)="#",IFERROR(LEN(_xlfn.TEXTBEFORE(CO76," "))=3,0)),_xlfn.TEXTAFTER(CO76," "),CP75)</f>
        <v>Establish single point of contact</v>
      </c>
      <c r="CQ76" t="str">
        <f t="shared" si="108"/>
        <v>References</v>
      </c>
      <c r="CR76" t="str">
        <f t="shared" si="109"/>
        <v>4.3.3.RX</v>
      </c>
      <c r="CS76" t="str">
        <f>IF(AND(CO76&lt;&gt;"",LEFT(CO76,1)&lt;&gt;"#"),IF(LEFT(CO76,1)="-",REPLACE(CO76,1,1,tech!$H$2),CO76),"")</f>
        <v/>
      </c>
      <c r="CT76" t="s">
        <v>495</v>
      </c>
    </row>
    <row r="77" spans="3:98" x14ac:dyDescent="0.25">
      <c r="C77" s="492" t="s">
        <v>445</v>
      </c>
      <c r="D77" t="str">
        <f t="shared" si="64"/>
        <v>Optimized</v>
      </c>
      <c r="E77" t="str">
        <f t="shared" si="110"/>
        <v>Indicators</v>
      </c>
      <c r="F77" t="str">
        <f>_xlfn.CONCAT(VLOOKUP(D77,tech!$A$13:$B$17,2,0),LEFT(E77,1),IF(G77="","X","Y"))</f>
        <v>5IX</v>
      </c>
      <c r="G77" t="str">
        <f>IF(IF(LEFT(C77,1)="-",C77,"")="","",REPLACE(IF(LEFT(C77,1)="-",C77,""),1,1,tech!$H$2))</f>
        <v/>
      </c>
      <c r="H77" t="s">
        <v>495</v>
      </c>
      <c r="I77" s="492"/>
      <c r="J77" t="str">
        <f t="shared" si="65"/>
        <v>Architecture and design of the PKI</v>
      </c>
      <c r="K77" t="str">
        <f t="shared" si="66"/>
        <v>References</v>
      </c>
      <c r="L77" t="str">
        <f t="shared" si="67"/>
        <v>1.1.4.RX</v>
      </c>
      <c r="M77" t="str">
        <f>IF(AND(I77&lt;&gt;"",LEFT(I77,1)&lt;&gt;"#"),IF(LEFT(I77,1)="-",REPLACE(I77,1,1,tech!$H$2),I77),"")</f>
        <v/>
      </c>
      <c r="N77" t="s">
        <v>495</v>
      </c>
      <c r="O77" s="492" t="s">
        <v>551</v>
      </c>
      <c r="P77" t="str">
        <f t="shared" si="111"/>
        <v>Certificate policy is documented and published</v>
      </c>
      <c r="Q77" t="str">
        <f t="shared" si="69"/>
        <v>References</v>
      </c>
      <c r="R77" t="str">
        <f t="shared" si="70"/>
        <v>1.2.2.RY</v>
      </c>
      <c r="S77" t="str">
        <f>IF(AND(O77&lt;&gt;"",LEFT(O77,1)&lt;&gt;"#"),IF(LEFT(O77,1)="-",REPLACE(O77,1,1,tech!$H$2),O77),"")</f>
        <v>• [RFC 3647 - Internet X.509 Public Key Infrastructure Certificate Policy and Certification Practices Framework](https://tools.ietf.org/html/rfc3647)</v>
      </c>
      <c r="T77" t="s">
        <v>495</v>
      </c>
      <c r="U77" s="492" t="s">
        <v>637</v>
      </c>
      <c r="V77" t="str">
        <f t="shared" si="112"/>
        <v>Responsibilities for the compliance are formally defined and assigned</v>
      </c>
      <c r="W77" t="str">
        <f t="shared" si="72"/>
        <v>Assessment</v>
      </c>
      <c r="X77" t="str">
        <f t="shared" si="73"/>
        <v>1.3.3.AY</v>
      </c>
      <c r="Y77" t="str">
        <f>IF(AND(U77&lt;&gt;"",LEFT(U77,1)&lt;&gt;"#"),IF(LEFT(U77,1)="-",REPLACE(U77,1,1,tech!$H$2),U77),"")</f>
        <v>• For each defined procedure, a specific individual or team is identified and assigned to perform the tasks associated with the procedure</v>
      </c>
      <c r="Z77" t="s">
        <v>495</v>
      </c>
      <c r="AA77" s="492" t="s">
        <v>691</v>
      </c>
      <c r="AB77" t="str">
        <f t="shared" si="113"/>
        <v>Recurring activities are executed on time</v>
      </c>
      <c r="AC77" t="str">
        <f t="shared" si="75"/>
        <v>Assessment</v>
      </c>
      <c r="AD77" t="str">
        <f t="shared" si="76"/>
        <v>1.4.3.AY</v>
      </c>
      <c r="AE77" t="str">
        <f>IF(AND(AA77&lt;&gt;"",LEFT(AA77,1)&lt;&gt;"#"),IF(LEFT(AA77,1)="-",REPLACE(AA77,1,1,tech!$H$2),AA77),"")</f>
        <v>• Calendar of activities</v>
      </c>
      <c r="AF77" t="s">
        <v>495</v>
      </c>
      <c r="AG77" s="492" t="s">
        <v>719</v>
      </c>
      <c r="AH77" t="str">
        <f t="shared" si="114"/>
        <v>Inventory of cryptographic devices is documented and maintained</v>
      </c>
      <c r="AI77" t="str">
        <f t="shared" si="78"/>
        <v>Guidance</v>
      </c>
      <c r="AJ77" t="str">
        <f t="shared" si="79"/>
        <v>2.1.3.GY</v>
      </c>
      <c r="AK77" t="str">
        <f>IF(AND(AG77&lt;&gt;"",LEFT(AG77,1)&lt;&gt;"#"),IF(LEFT(AG77,1)="-",REPLACE(AG77,1,1,tech!$H$2),AG77),"")</f>
        <v>The inventory of cryptographic devices should contain relevant information such as:</v>
      </c>
      <c r="AL77" t="s">
        <v>495</v>
      </c>
      <c r="AM77" s="492" t="s">
        <v>811</v>
      </c>
      <c r="AN77" t="str">
        <f t="shared" si="115"/>
        <v>Certificate lifecycle management is documented</v>
      </c>
      <c r="AO77" t="str">
        <f t="shared" si="81"/>
        <v>Guidance</v>
      </c>
      <c r="AP77" t="str">
        <f t="shared" si="82"/>
        <v>2.2.3.GY</v>
      </c>
      <c r="AQ77" t="str">
        <f>IF(AND(AM77&lt;&gt;"",LEFT(AM77,1)&lt;&gt;"#"),IF(LEFT(AM77,1)="-",REPLACE(AM77,1,1,tech!$H$2),AM77),"")</f>
        <v>2. Certificate Issuance and protocols used for enrollment, on-line and off-line</v>
      </c>
      <c r="AR77" t="s">
        <v>495</v>
      </c>
      <c r="AS77" s="492"/>
      <c r="AT77" t="str">
        <f t="shared" si="116"/>
        <v>Network vulnerability management is implemented and maintained</v>
      </c>
      <c r="AU77" t="str">
        <f t="shared" si="84"/>
        <v>References</v>
      </c>
      <c r="AV77" t="str">
        <f t="shared" si="85"/>
        <v>2.3.3.RX</v>
      </c>
      <c r="AW77" t="str">
        <f>IF(AND(AS77&lt;&gt;"",LEFT(AS77,1)&lt;&gt;"#"),IF(LEFT(AS77,1)="-",REPLACE(AS77,1,1,tech!$H$2),AS77),"")</f>
        <v/>
      </c>
      <c r="AX77" t="s">
        <v>495</v>
      </c>
      <c r="AY77" s="492"/>
      <c r="AZ77" t="str">
        <f t="shared" si="117"/>
        <v>Request for change structure is documented and followed</v>
      </c>
      <c r="BA77" t="str">
        <f t="shared" si="87"/>
        <v>References</v>
      </c>
      <c r="BB77" t="str">
        <f t="shared" si="88"/>
        <v>2.4.2.RX</v>
      </c>
      <c r="BC77" t="str">
        <f>IF(AND(AY77&lt;&gt;"",LEFT(AY77,1)&lt;&gt;"#"),IF(LEFT(AY77,1)="-",REPLACE(AY77,1,1,tech!$H$2),AY77),"")</f>
        <v/>
      </c>
      <c r="BD77" t="s">
        <v>495</v>
      </c>
      <c r="BE77" s="492"/>
      <c r="BF77" t="str">
        <f t="shared" si="118"/>
        <v>Business continuity planning and disaster recovery</v>
      </c>
      <c r="BG77" t="str">
        <f t="shared" si="90"/>
        <v>Guidance</v>
      </c>
      <c r="BH77" t="str">
        <f t="shared" si="91"/>
        <v>3.1.3.GY</v>
      </c>
      <c r="BI77" t="str">
        <f>IF(AND(BE77&lt;&gt;"",LEFT(BE77,1)&lt;&gt;"#"),IF(LEFT(BE77,1)="-",REPLACE(BE77,1,1,tech!$H$2),BE77),"")</f>
        <v/>
      </c>
      <c r="BJ77" t="s">
        <v>495</v>
      </c>
      <c r="BK77" s="492"/>
      <c r="BL77" t="str">
        <f t="shared" si="119"/>
        <v>Adoption and application of open standards</v>
      </c>
      <c r="BM77" t="str">
        <f t="shared" si="93"/>
        <v>Guidance</v>
      </c>
      <c r="BN77" t="str">
        <f t="shared" si="94"/>
        <v>3.2.3.GY</v>
      </c>
      <c r="BO77" t="str">
        <f>IF(AND(BK77&lt;&gt;"",LEFT(BK77,1)&lt;&gt;"#"),IF(LEFT(BK77,1)="-",REPLACE(BK77,1,1,tech!$H$2),BK77),"")</f>
        <v/>
      </c>
      <c r="BP77" t="s">
        <v>495</v>
      </c>
      <c r="BQ77" s="492" t="s">
        <v>1153</v>
      </c>
      <c r="BR77" t="str">
        <f t="shared" si="120"/>
        <v>Event logs from systems are collected</v>
      </c>
      <c r="BS77" t="str">
        <f t="shared" si="96"/>
        <v>References</v>
      </c>
      <c r="BT77" t="str">
        <f t="shared" si="97"/>
        <v>3.3.2.RY</v>
      </c>
      <c r="BU77" t="str">
        <f>IF(AND(BQ77&lt;&gt;"",LEFT(BQ77,1)&lt;&gt;"#"),IF(LEFT(BQ77,1)="-",REPLACE(BQ77,1,1,tech!$H$2),BQ77),"")</f>
        <v>• [NIST - Guide to Computer Security Log Management](https://nvlpubs.nist.gov/nistpubs/Legacy/SP/nistspecialpublication800-92.pdf)</v>
      </c>
      <c r="BV77" t="s">
        <v>495</v>
      </c>
      <c r="BW77" s="492" t="s">
        <v>1225</v>
      </c>
      <c r="BX77" t="str">
        <f t="shared" si="121"/>
        <v>Incidents and exceptions handling</v>
      </c>
      <c r="BY77" t="str">
        <f t="shared" si="99"/>
        <v>Guidance</v>
      </c>
      <c r="BZ77" t="str">
        <f t="shared" si="100"/>
        <v>3.4.3.GY</v>
      </c>
      <c r="CA77" t="str">
        <f>IF(AND(BW77&lt;&gt;"",LEFT(BW77,1)&lt;&gt;"#"),IF(LEFT(BW77,1)="-",REPLACE(BW77,1,1,tech!$H$2),BW77),"")</f>
        <v>Handling of exceptional situations should be covered in the documentation, stating what should be done in case of an exception or incident:</v>
      </c>
      <c r="CB77" t="s">
        <v>495</v>
      </c>
      <c r="CC77" s="492"/>
      <c r="CD77" t="str">
        <f t="shared" si="122"/>
        <v>Availability of resources</v>
      </c>
      <c r="CE77" t="str">
        <f t="shared" si="102"/>
        <v>References</v>
      </c>
      <c r="CF77" t="str">
        <f t="shared" si="103"/>
        <v>4.1.3.RX</v>
      </c>
      <c r="CG77" t="str">
        <f>IF(AND(CC77&lt;&gt;"",LEFT(CC77,1)&lt;&gt;"#"),IF(LEFT(CC77,1)="-",REPLACE(CC77,1,1,tech!$H$2),CC77),"")</f>
        <v/>
      </c>
      <c r="CH77" t="s">
        <v>495</v>
      </c>
      <c r="CI77" s="492"/>
      <c r="CJ77" t="str">
        <f t="shared" si="123"/>
        <v>Responsible personnel receive training</v>
      </c>
      <c r="CK77" t="str">
        <f t="shared" si="105"/>
        <v>References</v>
      </c>
      <c r="CL77" t="str">
        <f t="shared" si="106"/>
        <v>4.2.2.RX</v>
      </c>
      <c r="CM77" t="str">
        <f>IF(AND(CI77&lt;&gt;"",LEFT(CI77,1)&lt;&gt;"#"),IF(LEFT(CI77,1)="-",REPLACE(CI77,1,1,tech!$H$2),CI77),"")</f>
        <v/>
      </c>
      <c r="CN77" t="s">
        <v>495</v>
      </c>
      <c r="CO77" s="492"/>
      <c r="CP77" t="str">
        <f t="shared" si="124"/>
        <v>Establish single point of contact</v>
      </c>
      <c r="CQ77" t="str">
        <f t="shared" si="108"/>
        <v>References</v>
      </c>
      <c r="CR77" t="str">
        <f t="shared" si="109"/>
        <v>4.3.3.RX</v>
      </c>
      <c r="CS77" t="str">
        <f>IF(AND(CO77&lt;&gt;"",LEFT(CO77,1)&lt;&gt;"#"),IF(LEFT(CO77,1)="-",REPLACE(CO77,1,1,tech!$H$2),CO77),"")</f>
        <v/>
      </c>
      <c r="CT77" t="s">
        <v>495</v>
      </c>
    </row>
    <row r="78" spans="3:98" x14ac:dyDescent="0.25">
      <c r="C78" s="492"/>
      <c r="D78" t="str">
        <f t="shared" si="64"/>
        <v>Optimized</v>
      </c>
      <c r="E78" t="str">
        <f t="shared" si="110"/>
        <v>Indicators</v>
      </c>
      <c r="F78" t="str">
        <f>_xlfn.CONCAT(VLOOKUP(D78,tech!$A$13:$B$17,2,0),LEFT(E78,1),IF(G78="","X","Y"))</f>
        <v>5IX</v>
      </c>
      <c r="G78" t="str">
        <f>IF(IF(LEFT(C78,1)="-",C78,"")="","",REPLACE(IF(LEFT(C78,1)="-",C78,""),1,1,tech!$H$2))</f>
        <v/>
      </c>
      <c r="H78" t="s">
        <v>495</v>
      </c>
      <c r="I78" s="492" t="s">
        <v>498</v>
      </c>
      <c r="J78" t="str">
        <f t="shared" si="65"/>
        <v>Architecture and design of the PKI</v>
      </c>
      <c r="K78" t="str">
        <f t="shared" si="66"/>
        <v>Guidance</v>
      </c>
      <c r="L78" t="str">
        <f t="shared" si="67"/>
        <v>1.1.4.GX</v>
      </c>
      <c r="M78" t="str">
        <f>IF(AND(I78&lt;&gt;"",LEFT(I78,1)&lt;&gt;"#"),IF(LEFT(I78,1)="-",REPLACE(I78,1,1,tech!$H$2),I78),"")</f>
        <v/>
      </c>
      <c r="N78" t="s">
        <v>495</v>
      </c>
      <c r="O78" s="492" t="s">
        <v>504</v>
      </c>
      <c r="P78" t="str">
        <f t="shared" si="111"/>
        <v>Certificate policy is documented and published</v>
      </c>
      <c r="Q78" t="str">
        <f t="shared" si="69"/>
        <v>References</v>
      </c>
      <c r="R78" t="str">
        <f t="shared" si="70"/>
        <v>1.2.2.RY</v>
      </c>
      <c r="S78" t="str">
        <f>IF(AND(O78&lt;&gt;"",LEFT(O78,1)&lt;&gt;"#"),IF(LEFT(O78,1)="-",REPLACE(O78,1,1,tech!$H$2),O78),"")</f>
        <v>• [ISO/IEC 27001 - Information security management systems](https://www.iso.org/standard/54534.html)</v>
      </c>
      <c r="T78" t="s">
        <v>495</v>
      </c>
      <c r="U78" s="492" t="s">
        <v>1462</v>
      </c>
      <c r="V78" t="str">
        <f t="shared" si="112"/>
        <v>Responsibilities for the compliance are formally defined and assigned</v>
      </c>
      <c r="W78" t="str">
        <f t="shared" si="72"/>
        <v>Assessment</v>
      </c>
      <c r="X78" t="str">
        <f t="shared" si="73"/>
        <v>1.3.3.AY</v>
      </c>
      <c r="Y78" t="str">
        <f>IF(AND(U78&lt;&gt;"",LEFT(U78,1)&lt;&gt;"#"),IF(LEFT(U78,1)="-",REPLACE(U78,1,1,tech!$H$2),U78),"")</f>
        <v>• Interview with the personnel to confirm understanding of the role and responsibilities</v>
      </c>
      <c r="Z78" t="s">
        <v>495</v>
      </c>
      <c r="AA78" s="492" t="s">
        <v>686</v>
      </c>
      <c r="AB78" t="str">
        <f t="shared" si="113"/>
        <v>Recurring activities are executed on time</v>
      </c>
      <c r="AC78" t="str">
        <f t="shared" si="75"/>
        <v>Assessment</v>
      </c>
      <c r="AD78" t="str">
        <f t="shared" si="76"/>
        <v>1.4.3.AY</v>
      </c>
      <c r="AE78" t="str">
        <f>IF(AND(AA78&lt;&gt;"",LEFT(AA78,1)&lt;&gt;"#"),IF(LEFT(AA78,1)="-",REPLACE(AA78,1,1,tech!$H$2),AA78),"")</f>
        <v>• Interview with the PKI management and staff</v>
      </c>
      <c r="AF78" t="s">
        <v>495</v>
      </c>
      <c r="AG78" s="492" t="s">
        <v>748</v>
      </c>
      <c r="AH78" t="str">
        <f t="shared" si="114"/>
        <v>Inventory of cryptographic devices is documented and maintained</v>
      </c>
      <c r="AI78" t="str">
        <f t="shared" si="78"/>
        <v>Guidance</v>
      </c>
      <c r="AJ78" t="str">
        <f t="shared" si="79"/>
        <v>2.1.3.GY</v>
      </c>
      <c r="AK78" t="str">
        <f>IF(AND(AG78&lt;&gt;"",LEFT(AG78,1)&lt;&gt;"#"),IF(LEFT(AG78,1)="-",REPLACE(AG78,1,1,tech!$H$2),AG78),"")</f>
        <v>• Vendor and device model Identification</v>
      </c>
      <c r="AL78" t="s">
        <v>495</v>
      </c>
      <c r="AM78" s="492" t="s">
        <v>812</v>
      </c>
      <c r="AN78" t="str">
        <f t="shared" si="115"/>
        <v>Certificate lifecycle management is documented</v>
      </c>
      <c r="AO78" t="str">
        <f t="shared" si="81"/>
        <v>Guidance</v>
      </c>
      <c r="AP78" t="str">
        <f t="shared" si="82"/>
        <v>2.2.3.GY</v>
      </c>
      <c r="AQ78" t="str">
        <f>IF(AND(AM78&lt;&gt;"",LEFT(AM78,1)&lt;&gt;"#"),IF(LEFT(AM78,1)="-",REPLACE(AM78,1,1,tech!$H$2),AM78),"")</f>
        <v>3. Certificate Renewal, Re-key and Modification, upon expiration or other causes</v>
      </c>
      <c r="AR78" t="s">
        <v>495</v>
      </c>
      <c r="AS78" s="492" t="s">
        <v>498</v>
      </c>
      <c r="AT78" t="str">
        <f t="shared" si="116"/>
        <v>Network vulnerability management is implemented and maintained</v>
      </c>
      <c r="AU78" t="str">
        <f t="shared" si="84"/>
        <v>Guidance</v>
      </c>
      <c r="AV78" t="str">
        <f t="shared" si="85"/>
        <v>2.3.3.GX</v>
      </c>
      <c r="AW78" t="str">
        <f>IF(AND(AS78&lt;&gt;"",LEFT(AS78,1)&lt;&gt;"#"),IF(LEFT(AS78,1)="-",REPLACE(AS78,1,1,tech!$H$2),AS78),"")</f>
        <v/>
      </c>
      <c r="AX78" t="s">
        <v>495</v>
      </c>
      <c r="AY78" s="492" t="s">
        <v>964</v>
      </c>
      <c r="AZ78" t="str">
        <f t="shared" si="117"/>
        <v>Request for change structure is documented and followed</v>
      </c>
      <c r="BA78" t="str">
        <f t="shared" si="87"/>
        <v>References</v>
      </c>
      <c r="BB78" t="str">
        <f t="shared" si="88"/>
        <v>2.4.2.RY</v>
      </c>
      <c r="BC78" t="str">
        <f>IF(AND(AY78&lt;&gt;"",LEFT(AY78,1)&lt;&gt;"#"),IF(LEFT(AY78,1)="-",REPLACE(AY78,1,1,tech!$H$2),AY78),"")</f>
        <v>• [COBIT (Control Objectives for Information and Related Technologies)](https://www.isaca.org/resources/cobit)</v>
      </c>
      <c r="BD78" t="s">
        <v>495</v>
      </c>
      <c r="BE78" s="492" t="s">
        <v>1034</v>
      </c>
      <c r="BF78" t="str">
        <f t="shared" si="118"/>
        <v>Business continuity planning and disaster recovery</v>
      </c>
      <c r="BG78" t="str">
        <f t="shared" si="90"/>
        <v>Guidance</v>
      </c>
      <c r="BH78" t="str">
        <f t="shared" si="91"/>
        <v>3.1.3.GY</v>
      </c>
      <c r="BI78" t="str">
        <f>IF(AND(BE78&lt;&gt;"",LEFT(BE78,1)&lt;&gt;"#"),IF(LEFT(BE78,1)="-",REPLACE(BE78,1,1,tech!$H$2),BE78),"")</f>
        <v>The following parts are typically covered:</v>
      </c>
      <c r="BJ78" t="s">
        <v>495</v>
      </c>
      <c r="BK78" s="492" t="s">
        <v>1102</v>
      </c>
      <c r="BL78" t="str">
        <f t="shared" si="119"/>
        <v>Adoption and application of open standards</v>
      </c>
      <c r="BM78" t="str">
        <f t="shared" si="93"/>
        <v>Guidance</v>
      </c>
      <c r="BN78" t="str">
        <f t="shared" si="94"/>
        <v>3.2.3.GY</v>
      </c>
      <c r="BO78" t="str">
        <f>IF(AND(BK78&lt;&gt;"",LEFT(BK78,1)&lt;&gt;"#"),IF(LEFT(BK78,1)="-",REPLACE(BK78,1,1,tech!$H$2),BK78),"")</f>
        <v>The adoption of open standards significant increase interoperability and reduce the risk of vendor lock-in.</v>
      </c>
      <c r="BP78" t="s">
        <v>495</v>
      </c>
      <c r="BQ78" s="492" t="s">
        <v>1146</v>
      </c>
      <c r="BR78" t="str">
        <f t="shared" si="120"/>
        <v>Event logs from systems are collected</v>
      </c>
      <c r="BS78" t="str">
        <f t="shared" si="96"/>
        <v>References</v>
      </c>
      <c r="BT78" t="str">
        <f t="shared" si="97"/>
        <v>3.3.2.RY</v>
      </c>
      <c r="BU78" t="str">
        <f>IF(AND(BQ78&lt;&gt;"",LEFT(BQ78,1)&lt;&gt;"#"),IF(LEFT(BQ78,1)="-",REPLACE(BQ78,1,1,tech!$H$2),BQ78),"")</f>
        <v>• [ISO/IEC 27099 - Public key infrastructure](https://www.iso.org/standard/56590.html)</v>
      </c>
      <c r="BV78" t="s">
        <v>495</v>
      </c>
      <c r="BW78" s="492" t="s">
        <v>1245</v>
      </c>
      <c r="BX78" t="str">
        <f t="shared" si="121"/>
        <v>Incidents and exceptions handling</v>
      </c>
      <c r="BY78" t="str">
        <f t="shared" si="99"/>
        <v>Guidance</v>
      </c>
      <c r="BZ78" t="str">
        <f t="shared" si="100"/>
        <v>3.4.3.GY</v>
      </c>
      <c r="CA78" t="str">
        <f>IF(AND(BW78&lt;&gt;"",LEFT(BW78,1)&lt;&gt;"#"),IF(LEFT(BW78,1)="-",REPLACE(BW78,1,1,tech!$H$2),BW78),"")</f>
        <v>• Communication of the exception</v>
      </c>
      <c r="CB78" t="s">
        <v>495</v>
      </c>
      <c r="CC78" s="492" t="s">
        <v>896</v>
      </c>
      <c r="CD78" t="str">
        <f t="shared" si="122"/>
        <v>Availability of resources</v>
      </c>
      <c r="CE78" t="str">
        <f t="shared" si="102"/>
        <v>References</v>
      </c>
      <c r="CF78" t="str">
        <f t="shared" si="103"/>
        <v>4.1.3.RY</v>
      </c>
      <c r="CG78" t="str">
        <f>IF(AND(CC78&lt;&gt;"",LEFT(CC78,1)&lt;&gt;"#"),IF(LEFT(CC78,1)="-",REPLACE(CC78,1,1,tech!$H$2),CC78),"")</f>
        <v>• [ISO/IEC 20000 and related standards](https://www.iso.org/standard/70636.html)</v>
      </c>
      <c r="CH78" t="s">
        <v>495</v>
      </c>
      <c r="CI78" s="492" t="s">
        <v>1294</v>
      </c>
      <c r="CJ78" t="str">
        <f t="shared" si="123"/>
        <v>Responsible personnel receive training</v>
      </c>
      <c r="CK78" t="str">
        <f t="shared" si="105"/>
        <v>References</v>
      </c>
      <c r="CL78" t="str">
        <f t="shared" si="106"/>
        <v>4.2.2.RY</v>
      </c>
      <c r="CM78" t="str">
        <f>IF(AND(CI78&lt;&gt;"",LEFT(CI78,1)&lt;&gt;"#"),IF(LEFT(CI78,1)="-",REPLACE(CI78,1,1,tech!$H$2),CI78),"")</f>
        <v>• [NIST SP 800-16 Information Technology Security Training Requirements: a Role- and Performance-Based Model](https://csrc.nist.gov/publications/detail/sp/800-16/final)</v>
      </c>
      <c r="CN78" t="s">
        <v>495</v>
      </c>
      <c r="CO78" s="492" t="s">
        <v>498</v>
      </c>
      <c r="CP78" t="str">
        <f t="shared" si="124"/>
        <v>Establish single point of contact</v>
      </c>
      <c r="CQ78" t="str">
        <f t="shared" si="108"/>
        <v>Guidance</v>
      </c>
      <c r="CR78" t="str">
        <f t="shared" si="109"/>
        <v>4.3.3.GX</v>
      </c>
      <c r="CS78" t="str">
        <f>IF(AND(CO78&lt;&gt;"",LEFT(CO78,1)&lt;&gt;"#"),IF(LEFT(CO78,1)="-",REPLACE(CO78,1,1,tech!$H$2),CO78),"")</f>
        <v/>
      </c>
      <c r="CT78" t="s">
        <v>495</v>
      </c>
    </row>
    <row r="79" spans="3:98" x14ac:dyDescent="0.25">
      <c r="C79" s="492" t="s">
        <v>477</v>
      </c>
      <c r="D79" t="str">
        <f t="shared" si="64"/>
        <v>Optimized</v>
      </c>
      <c r="E79" t="str">
        <f t="shared" si="110"/>
        <v>Indicators</v>
      </c>
      <c r="F79" t="str">
        <f>_xlfn.CONCAT(VLOOKUP(D79,tech!$A$13:$B$17,2,0),LEFT(E79,1),IF(G79="","X","Y"))</f>
        <v>5IY</v>
      </c>
      <c r="G79" t="str">
        <f>IF(IF(LEFT(C79,1)="-",C79,"")="","",REPLACE(IF(LEFT(C79,1)="-",C79,""),1,1,tech!$H$2))</f>
        <v>• Well-defined CP and CPS</v>
      </c>
      <c r="H79" t="s">
        <v>495</v>
      </c>
      <c r="I79" s="492"/>
      <c r="J79" t="str">
        <f t="shared" si="65"/>
        <v>Architecture and design of the PKI</v>
      </c>
      <c r="K79" t="str">
        <f t="shared" si="66"/>
        <v>Guidance</v>
      </c>
      <c r="L79" t="str">
        <f t="shared" si="67"/>
        <v>1.1.4.GX</v>
      </c>
      <c r="M79" t="str">
        <f>IF(AND(I79&lt;&gt;"",LEFT(I79,1)&lt;&gt;"#"),IF(LEFT(I79,1)="-",REPLACE(I79,1,1,tech!$H$2),I79),"")</f>
        <v/>
      </c>
      <c r="N79" t="s">
        <v>495</v>
      </c>
      <c r="O79" s="492" t="s">
        <v>558</v>
      </c>
      <c r="P79" t="str">
        <f t="shared" si="111"/>
        <v>Certificate policy is documented and published</v>
      </c>
      <c r="Q79" t="str">
        <f t="shared" si="69"/>
        <v>References</v>
      </c>
      <c r="R79" t="str">
        <f t="shared" si="70"/>
        <v>1.2.2.RY</v>
      </c>
      <c r="S79" t="str">
        <f>IF(AND(O79&lt;&gt;"",LEFT(O79,1)&lt;&gt;"#"),IF(LEFT(O79,1)="-",REPLACE(O79,1,1,tech!$H$2),O79),"")</f>
        <v>• [ETSI EN 319 411-1 - Policy and security requirements for Trust Service Providers issuing certificates](https://www.etsi.org/deliver/etsi_en/319400_319499/31941101/01.03.01_60/en_31941101v010301p.pdf)</v>
      </c>
      <c r="T79" t="s">
        <v>495</v>
      </c>
      <c r="U79" s="492"/>
      <c r="V79" t="str">
        <f t="shared" si="112"/>
        <v>Responsibilities for the compliance are formally defined and assigned</v>
      </c>
      <c r="W79" t="str">
        <f t="shared" si="72"/>
        <v>Assessment</v>
      </c>
      <c r="X79" t="str">
        <f t="shared" si="73"/>
        <v>1.3.3.AX</v>
      </c>
      <c r="Y79" t="str">
        <f>IF(AND(U79&lt;&gt;"",LEFT(U79,1)&lt;&gt;"#"),IF(LEFT(U79,1)="-",REPLACE(U79,1,1,tech!$H$2),U79),"")</f>
        <v/>
      </c>
      <c r="Z79" t="s">
        <v>495</v>
      </c>
      <c r="AA79" s="492"/>
      <c r="AB79" t="str">
        <f t="shared" si="113"/>
        <v>Recurring activities are executed on time</v>
      </c>
      <c r="AC79" t="str">
        <f t="shared" si="75"/>
        <v>Assessment</v>
      </c>
      <c r="AD79" t="str">
        <f t="shared" si="76"/>
        <v>1.4.3.AX</v>
      </c>
      <c r="AE79" t="str">
        <f>IF(AND(AA79&lt;&gt;"",LEFT(AA79,1)&lt;&gt;"#"),IF(LEFT(AA79,1)="-",REPLACE(AA79,1,1,tech!$H$2),AA79),"")</f>
        <v/>
      </c>
      <c r="AF79" t="s">
        <v>495</v>
      </c>
      <c r="AG79" s="492" t="s">
        <v>749</v>
      </c>
      <c r="AH79" t="str">
        <f t="shared" si="114"/>
        <v>Inventory of cryptographic devices is documented and maintained</v>
      </c>
      <c r="AI79" t="str">
        <f t="shared" si="78"/>
        <v>Guidance</v>
      </c>
      <c r="AJ79" t="str">
        <f t="shared" si="79"/>
        <v>2.1.3.GY</v>
      </c>
      <c r="AK79" t="str">
        <f>IF(AND(AG79&lt;&gt;"",LEFT(AG79,1)&lt;&gt;"#"),IF(LEFT(AG79,1)="-",REPLACE(AG79,1,1,tech!$H$2),AG79),"")</f>
        <v>• Serial numbers</v>
      </c>
      <c r="AL79" t="s">
        <v>495</v>
      </c>
      <c r="AM79" s="492" t="s">
        <v>813</v>
      </c>
      <c r="AN79" t="str">
        <f t="shared" si="115"/>
        <v>Certificate lifecycle management is documented</v>
      </c>
      <c r="AO79" t="str">
        <f t="shared" si="81"/>
        <v>Guidance</v>
      </c>
      <c r="AP79" t="str">
        <f t="shared" si="82"/>
        <v>2.2.3.GY</v>
      </c>
      <c r="AQ79" t="str">
        <f>IF(AND(AM79&lt;&gt;"",LEFT(AM79,1)&lt;&gt;"#"),IF(LEFT(AM79,1)="-",REPLACE(AM79,1,1,tech!$H$2),AM79),"")</f>
        <v xml:space="preserve">   * Process of monitoring certificates for expiration and timely renewal processes prevent common issues</v>
      </c>
      <c r="AR79" t="s">
        <v>495</v>
      </c>
      <c r="AS79" s="492"/>
      <c r="AT79" t="str">
        <f t="shared" si="116"/>
        <v>Network vulnerability management is implemented and maintained</v>
      </c>
      <c r="AU79" t="str">
        <f t="shared" si="84"/>
        <v>Guidance</v>
      </c>
      <c r="AV79" t="str">
        <f t="shared" si="85"/>
        <v>2.3.3.GX</v>
      </c>
      <c r="AW79" t="str">
        <f>IF(AND(AS79&lt;&gt;"",LEFT(AS79,1)&lt;&gt;"#"),IF(LEFT(AS79,1)="-",REPLACE(AS79,1,1,tech!$H$2),AS79),"")</f>
        <v/>
      </c>
      <c r="AX79" t="s">
        <v>495</v>
      </c>
      <c r="AY79" s="492" t="s">
        <v>896</v>
      </c>
      <c r="AZ79" t="str">
        <f t="shared" si="117"/>
        <v>Request for change structure is documented and followed</v>
      </c>
      <c r="BA79" t="str">
        <f t="shared" si="87"/>
        <v>References</v>
      </c>
      <c r="BB79" t="str">
        <f t="shared" si="88"/>
        <v>2.4.2.RY</v>
      </c>
      <c r="BC79" t="str">
        <f>IF(AND(AY79&lt;&gt;"",LEFT(AY79,1)&lt;&gt;"#"),IF(LEFT(AY79,1)="-",REPLACE(AY79,1,1,tech!$H$2),AY79),"")</f>
        <v>• [ISO/IEC 20000 and related standards](https://www.iso.org/standard/70636.html)</v>
      </c>
      <c r="BD79" t="s">
        <v>495</v>
      </c>
      <c r="BE79" s="492" t="s">
        <v>1060</v>
      </c>
      <c r="BF79" t="str">
        <f t="shared" si="118"/>
        <v>Business continuity planning and disaster recovery</v>
      </c>
      <c r="BG79" t="str">
        <f t="shared" si="90"/>
        <v>Guidance</v>
      </c>
      <c r="BH79" t="str">
        <f t="shared" si="91"/>
        <v>3.1.3.GY</v>
      </c>
      <c r="BI79" t="str">
        <f>IF(AND(BE79&lt;&gt;"",LEFT(BE79,1)&lt;&gt;"#"),IF(LEFT(BE79,1)="-",REPLACE(BE79,1,1,tech!$H$2),BE79),"")</f>
        <v>• Scope of the business continuity and disaster recovery</v>
      </c>
      <c r="BJ79" t="s">
        <v>495</v>
      </c>
      <c r="BK79" s="492"/>
      <c r="BL79" t="str">
        <f t="shared" si="119"/>
        <v>Adoption and application of open standards</v>
      </c>
      <c r="BM79" t="str">
        <f t="shared" si="93"/>
        <v>Guidance</v>
      </c>
      <c r="BN79" t="str">
        <f t="shared" si="94"/>
        <v>3.2.3.GX</v>
      </c>
      <c r="BO79" t="str">
        <f>IF(AND(BK79&lt;&gt;"",LEFT(BK79,1)&lt;&gt;"#"),IF(LEFT(BK79,1)="-",REPLACE(BK79,1,1,tech!$H$2),BK79),"")</f>
        <v/>
      </c>
      <c r="BP79" t="s">
        <v>495</v>
      </c>
      <c r="BQ79" s="492"/>
      <c r="BR79" t="str">
        <f t="shared" si="120"/>
        <v>Event logs from systems are collected</v>
      </c>
      <c r="BS79" t="str">
        <f t="shared" si="96"/>
        <v>References</v>
      </c>
      <c r="BT79" t="str">
        <f t="shared" si="97"/>
        <v>3.3.2.RX</v>
      </c>
      <c r="BU79" t="str">
        <f>IF(AND(BQ79&lt;&gt;"",LEFT(BQ79,1)&lt;&gt;"#"),IF(LEFT(BQ79,1)="-",REPLACE(BQ79,1,1,tech!$H$2),BQ79),"")</f>
        <v/>
      </c>
      <c r="BV79" t="s">
        <v>495</v>
      </c>
      <c r="BW79" s="492" t="s">
        <v>1246</v>
      </c>
      <c r="BX79" t="str">
        <f t="shared" si="121"/>
        <v>Incidents and exceptions handling</v>
      </c>
      <c r="BY79" t="str">
        <f t="shared" si="99"/>
        <v>Guidance</v>
      </c>
      <c r="BZ79" t="str">
        <f t="shared" si="100"/>
        <v>3.4.3.GY</v>
      </c>
      <c r="CA79" t="str">
        <f>IF(AND(BW79&lt;&gt;"",LEFT(BW79,1)&lt;&gt;"#"),IF(LEFT(BW79,1)="-",REPLACE(BW79,1,1,tech!$H$2),BW79),"")</f>
        <v>• Approval of the exception</v>
      </c>
      <c r="CB79" t="s">
        <v>495</v>
      </c>
      <c r="CC79" s="492"/>
      <c r="CD79" t="str">
        <f t="shared" si="122"/>
        <v>Availability of resources</v>
      </c>
      <c r="CE79" t="str">
        <f t="shared" si="102"/>
        <v>References</v>
      </c>
      <c r="CF79" t="str">
        <f t="shared" si="103"/>
        <v>4.1.3.RX</v>
      </c>
      <c r="CG79" t="str">
        <f>IF(AND(CC79&lt;&gt;"",LEFT(CC79,1)&lt;&gt;"#"),IF(LEFT(CC79,1)="-",REPLACE(CC79,1,1,tech!$H$2),CC79),"")</f>
        <v/>
      </c>
      <c r="CH79" t="s">
        <v>495</v>
      </c>
      <c r="CI79" s="492" t="s">
        <v>1295</v>
      </c>
      <c r="CJ79" t="str">
        <f t="shared" si="123"/>
        <v>Responsible personnel receive training</v>
      </c>
      <c r="CK79" t="str">
        <f t="shared" si="105"/>
        <v>References</v>
      </c>
      <c r="CL79" t="str">
        <f t="shared" si="106"/>
        <v>4.2.2.RY</v>
      </c>
      <c r="CM79" t="str">
        <f>IF(AND(CI79&lt;&gt;"",LEFT(CI79,1)&lt;&gt;"#"),IF(LEFT(CI79,1)="-",REPLACE(CI79,1,1,tech!$H$2),CI79),"")</f>
        <v>• [NIST SP 800-50 Building an Information Technology Security Awareness and Training Program](https://csrc.nist.gov/publications/detail/sp/800-50/final)</v>
      </c>
      <c r="CN79" t="s">
        <v>495</v>
      </c>
      <c r="CO79" s="492"/>
      <c r="CP79" t="str">
        <f t="shared" si="124"/>
        <v>Establish single point of contact</v>
      </c>
      <c r="CQ79" t="str">
        <f t="shared" si="108"/>
        <v>Guidance</v>
      </c>
      <c r="CR79" t="str">
        <f t="shared" si="109"/>
        <v>4.3.3.GX</v>
      </c>
      <c r="CS79" t="str">
        <f>IF(AND(CO79&lt;&gt;"",LEFT(CO79,1)&lt;&gt;"#"),IF(LEFT(CO79,1)="-",REPLACE(CO79,1,1,tech!$H$2),CO79),"")</f>
        <v/>
      </c>
      <c r="CT79" t="s">
        <v>495</v>
      </c>
    </row>
    <row r="80" spans="3:98" x14ac:dyDescent="0.25">
      <c r="C80" s="492" t="s">
        <v>478</v>
      </c>
      <c r="D80" t="str">
        <f t="shared" ref="D80:D89" si="125">IF(AND(LEFT(C80,1)="#",IFERROR(LEN(_xlfn.TEXTBEFORE(C80," "))=2,0)),_xlfn.TEXTBEFORE(_xlfn.TEXTAFTER(C80," ")," "),D79)</f>
        <v>Optimized</v>
      </c>
      <c r="E80" t="str">
        <f t="shared" ref="E80:E89" si="126">IF(AND(LEFT(C80,1)="#",IFERROR(LEN(_xlfn.TEXTBEFORE(C80," "))=3,0)),_xlfn.TEXTAFTER(C80," "),E79)</f>
        <v>Indicators</v>
      </c>
      <c r="F80" t="str">
        <f>_xlfn.CONCAT(VLOOKUP(D80,tech!$A$13:$B$17,2,0),LEFT(E80,1),IF(G80="","X","Y"))</f>
        <v>5IY</v>
      </c>
      <c r="G80" t="str">
        <f>IF(IF(LEFT(C80,1)="-",C80,"")="","",REPLACE(IF(LEFT(C80,1)="-",C80,""),1,1,tech!$H$2))</f>
        <v>• Effective procedures for certificate management exist and are followed</v>
      </c>
      <c r="H80" t="s">
        <v>495</v>
      </c>
      <c r="I80" s="492" t="s">
        <v>515</v>
      </c>
      <c r="J80" t="str">
        <f t="shared" ref="J80:J111" si="127">IF(AND(LEFT(I80,1)="#",IFERROR(LEN(_xlfn.TEXTBEFORE(I80," "))=3,0)),_xlfn.TEXTAFTER(I80," "),J79)</f>
        <v>Architecture and design of the PKI</v>
      </c>
      <c r="K80" t="str">
        <f t="shared" ref="K80:K83" si="128">IF(AND(LEFT(I80,1)="#",IFERROR(LEN(_xlfn.TEXTBEFORE(I80," "))=4,0)),_xlfn.TEXTAFTER(I80," "),K79)</f>
        <v>Guidance</v>
      </c>
      <c r="L80" t="str">
        <f t="shared" ref="L80:L143" si="129">_xlfn.CONCAT(IFERROR(VLOOKUP(J80,$L$4:$M$13,2,0),""),LEFT(K80,1),IF(M80="",IF(AND(M79&lt;&gt;"",M81&lt;&gt;""),"Y","X"),"Y"))</f>
        <v>1.1.4.GY</v>
      </c>
      <c r="M80" t="str">
        <f>IF(AND(I80&lt;&gt;"",LEFT(I80,1)&lt;&gt;"#"),IF(LEFT(I80,1)="-",REPLACE(I80,1,1,tech!$H$2),I80),"")</f>
        <v>The architecture and design of the PKI should be documented to provide a clear understanding of the implementation and technologies that are involved. The architecture and design should be aligned with the scope and business drivers for the PKI and should be reviewed and updated regularly.</v>
      </c>
      <c r="N80" t="s">
        <v>495</v>
      </c>
      <c r="O80" s="492"/>
      <c r="P80" t="str">
        <f t="shared" si="111"/>
        <v>Certificate policy is documented and published</v>
      </c>
      <c r="Q80" t="str">
        <f t="shared" ref="Q80:Q83" si="130">IF(AND(LEFT(O80,1)="#",IFERROR(LEN(_xlfn.TEXTBEFORE(O80," "))=4,0)),_xlfn.TEXTAFTER(O80," "),Q79)</f>
        <v>References</v>
      </c>
      <c r="R80" t="str">
        <f t="shared" ref="R80:R143" si="131">_xlfn.CONCAT(IFERROR(VLOOKUP(P80,$R$4:$S$13,2,0),""),LEFT(Q80,1),IF(S80="",IF(AND(S79&lt;&gt;"",S81&lt;&gt;""),"Y","X"),"Y"))</f>
        <v>1.2.2.RX</v>
      </c>
      <c r="S80" t="str">
        <f>IF(AND(O80&lt;&gt;"",LEFT(O80,1)&lt;&gt;"#"),IF(LEFT(O80,1)="-",REPLACE(O80,1,1,tech!$H$2),O80),"")</f>
        <v/>
      </c>
      <c r="T80" t="s">
        <v>495</v>
      </c>
      <c r="U80" s="492" t="s">
        <v>503</v>
      </c>
      <c r="V80" t="str">
        <f t="shared" si="112"/>
        <v>Responsibilities for the compliance are formally defined and assigned</v>
      </c>
      <c r="W80" t="str">
        <f t="shared" ref="W80:W83" si="132">IF(AND(LEFT(U80,1)="#",IFERROR(LEN(_xlfn.TEXTBEFORE(U80," "))=4,0)),_xlfn.TEXTAFTER(U80," "),W79)</f>
        <v>References</v>
      </c>
      <c r="X80" t="str">
        <f t="shared" ref="X80:X143" si="133">_xlfn.CONCAT(IFERROR(VLOOKUP(V80,X$4:Y$13,2,0),""),LEFT(W80,1),IF(Y80="",IF(AND(Y79&lt;&gt;"",Y81&lt;&gt;""),"Y","X"),"Y"))</f>
        <v>1.3.3.RX</v>
      </c>
      <c r="Y80" t="str">
        <f>IF(AND(U80&lt;&gt;"",LEFT(U80,1)&lt;&gt;"#"),IF(LEFT(U80,1)="-",REPLACE(U80,1,1,tech!$H$2),U80),"")</f>
        <v/>
      </c>
      <c r="Z80" t="s">
        <v>495</v>
      </c>
      <c r="AA80" s="492" t="s">
        <v>503</v>
      </c>
      <c r="AB80" t="str">
        <f t="shared" si="113"/>
        <v>Recurring activities are executed on time</v>
      </c>
      <c r="AC80" t="str">
        <f t="shared" ref="AC80:AC83" si="134">IF(AND(LEFT(AA80,1)="#",IFERROR(LEN(_xlfn.TEXTBEFORE(AA80," "))=4,0)),_xlfn.TEXTAFTER(AA80," "),AC79)</f>
        <v>References</v>
      </c>
      <c r="AD80" t="str">
        <f t="shared" ref="AD80:AD143" si="135">_xlfn.CONCAT(IFERROR(VLOOKUP(AB80,AD$4:AE$13,2,0),""),LEFT(AC80,1),IF(AE80="",IF(AND(AE79&lt;&gt;"",AE81&lt;&gt;""),"Y","X"),"Y"))</f>
        <v>1.4.3.RX</v>
      </c>
      <c r="AE80" t="str">
        <f>IF(AND(AA80&lt;&gt;"",LEFT(AA80,1)&lt;&gt;"#"),IF(LEFT(AA80,1)="-",REPLACE(AA80,1,1,tech!$H$2),AA80),"")</f>
        <v/>
      </c>
      <c r="AF80" t="s">
        <v>495</v>
      </c>
      <c r="AG80" s="492" t="s">
        <v>750</v>
      </c>
      <c r="AH80" t="str">
        <f t="shared" si="114"/>
        <v>Inventory of cryptographic devices is documented and maintained</v>
      </c>
      <c r="AI80" t="str">
        <f t="shared" ref="AI80:AI83" si="136">IF(AND(LEFT(AG80,1)="#",IFERROR(LEN(_xlfn.TEXTBEFORE(AG80," "))=4,0)),_xlfn.TEXTAFTER(AG80," "),AI79)</f>
        <v>Guidance</v>
      </c>
      <c r="AJ80" t="str">
        <f t="shared" ref="AJ80:AJ143" si="137">_xlfn.CONCAT(IFERROR(VLOOKUP(AH80,AJ$4:AK$13,2,0),""),LEFT(AI80,1),IF(AK80="",IF(AND(AK79&lt;&gt;"",AK81&lt;&gt;""),"Y","X"),"Y"))</f>
        <v>2.1.3.GY</v>
      </c>
      <c r="AK80" t="str">
        <f>IF(AND(AG80&lt;&gt;"",LEFT(AG80,1)&lt;&gt;"#"),IF(LEFT(AG80,1)="-",REPLACE(AG80,1,1,tech!$H$2),AG80),"")</f>
        <v>• Hardware / firmware / software versions</v>
      </c>
      <c r="AL80" t="s">
        <v>495</v>
      </c>
      <c r="AM80" s="492" t="s">
        <v>814</v>
      </c>
      <c r="AN80" t="str">
        <f t="shared" si="115"/>
        <v>Certificate lifecycle management is documented</v>
      </c>
      <c r="AO80" t="str">
        <f t="shared" ref="AO80:AO83" si="138">IF(AND(LEFT(AM80,1)="#",IFERROR(LEN(_xlfn.TEXTBEFORE(AM80," "))=4,0)),_xlfn.TEXTAFTER(AM80," "),AO79)</f>
        <v>Guidance</v>
      </c>
      <c r="AP80" t="str">
        <f t="shared" ref="AP80:AP143" si="139">_xlfn.CONCAT(IFERROR(VLOOKUP(AN80,AP$4:AQ$13,2,0),""),LEFT(AO80,1),IF(AQ80="",IF(AND(AQ79&lt;&gt;"",AQ81&lt;&gt;""),"Y","X"),"Y"))</f>
        <v>2.2.3.GY</v>
      </c>
      <c r="AQ80" t="str">
        <f>IF(AND(AM80&lt;&gt;"",LEFT(AM80,1)&lt;&gt;"#"),IF(LEFT(AM80,1)="-",REPLACE(AM80,1,1,tech!$H$2),AM80),"")</f>
        <v>4. Certificate Revocation</v>
      </c>
      <c r="AR80" t="s">
        <v>495</v>
      </c>
      <c r="AS80" s="492" t="s">
        <v>904</v>
      </c>
      <c r="AT80" t="str">
        <f t="shared" si="116"/>
        <v>Network vulnerability management is implemented and maintained</v>
      </c>
      <c r="AU80" t="str">
        <f t="shared" ref="AU80:AU83" si="140">IF(AND(LEFT(AS80,1)="#",IFERROR(LEN(_xlfn.TEXTBEFORE(AS80," "))=4,0)),_xlfn.TEXTAFTER(AS80," "),AU79)</f>
        <v>Guidance</v>
      </c>
      <c r="AV80" t="str">
        <f t="shared" ref="AV80:AV143" si="141">_xlfn.CONCAT(IFERROR(VLOOKUP(AT80,AV$4:AW$13,2,0),""),LEFT(AU80,1),IF(AW80="",IF(AND(AW79&lt;&gt;"",AW81&lt;&gt;""),"Y","X"),"Y"))</f>
        <v>2.3.3.GY</v>
      </c>
      <c r="AW80" t="str">
        <f>IF(AND(AS80&lt;&gt;"",LEFT(AS80,1)&lt;&gt;"#"),IF(LEFT(AS80,1)="-",REPLACE(AS80,1,1,tech!$H$2),AS80),"")</f>
        <v>The network vulnerability management is a process that is used to identify, classify, remediate, and mitigate vulnerabilities in the network infrastructure and protects PKI implementation from potential attacks. The process should be implemented and maintained in order to ensure that the network infrastructure is properly secured and protected from potential attacks.</v>
      </c>
      <c r="AX80" t="s">
        <v>495</v>
      </c>
      <c r="AY80" s="492" t="s">
        <v>965</v>
      </c>
      <c r="AZ80" t="str">
        <f t="shared" si="117"/>
        <v>Request for change structure is documented and followed</v>
      </c>
      <c r="BA80" t="str">
        <f t="shared" ref="BA80:BA83" si="142">IF(AND(LEFT(AY80,1)="#",IFERROR(LEN(_xlfn.TEXTBEFORE(AY80," "))=4,0)),_xlfn.TEXTAFTER(AY80," "),BA79)</f>
        <v>References</v>
      </c>
      <c r="BB80" t="str">
        <f t="shared" ref="BB80:BB143" si="143">_xlfn.CONCAT(IFERROR(VLOOKUP(AZ80,BB$4:BC$13,2,0),""),LEFT(BA80,1),IF(BC80="",IF(AND(BC79&lt;&gt;"",BC81&lt;&gt;""),"Y","X"),"Y"))</f>
        <v>2.4.2.RY</v>
      </c>
      <c r="BC80" t="str">
        <f>IF(AND(AY80&lt;&gt;"",LEFT(AY80,1)&lt;&gt;"#"),IF(LEFT(AY80,1)="-",REPLACE(AY80,1,1,tech!$H$2),AY80),"")</f>
        <v>• [The Information Technology Infrastructure Library (ITIL)](https://www.axelos.com/best-practice-solutions/itil)</v>
      </c>
      <c r="BD80" t="s">
        <v>495</v>
      </c>
      <c r="BE80" s="492" t="s">
        <v>981</v>
      </c>
      <c r="BF80" t="str">
        <f t="shared" si="118"/>
        <v>Business continuity planning and disaster recovery</v>
      </c>
      <c r="BG80" t="str">
        <f t="shared" ref="BG80:BG83" si="144">IF(AND(LEFT(BE80,1)="#",IFERROR(LEN(_xlfn.TEXTBEFORE(BE80," "))=4,0)),_xlfn.TEXTAFTER(BE80," "),BG79)</f>
        <v>Guidance</v>
      </c>
      <c r="BH80" t="str">
        <f t="shared" ref="BH80:BH143" si="145">_xlfn.CONCAT(IFERROR(VLOOKUP(BF80,BH$4:BI$13,2,0),""),LEFT(BG80,1),IF(BI80="",IF(AND(BI79&lt;&gt;"",BI81&lt;&gt;""),"Y","X"),"Y"))</f>
        <v>3.1.3.GY</v>
      </c>
      <c r="BI80" t="str">
        <f>IF(AND(BE80&lt;&gt;"",LEFT(BE80,1)&lt;&gt;"#"),IF(LEFT(BE80,1)="-",REPLACE(BE80,1,1,tech!$H$2),BE80),"")</f>
        <v>• roles and responsibilities</v>
      </c>
      <c r="BJ80" t="s">
        <v>495</v>
      </c>
      <c r="BK80" s="492" t="s">
        <v>501</v>
      </c>
      <c r="BL80" t="str">
        <f t="shared" si="119"/>
        <v>Adoption and application of open standards</v>
      </c>
      <c r="BM80" t="str">
        <f t="shared" ref="BM80:BM83" si="146">IF(AND(LEFT(BK80,1)="#",IFERROR(LEN(_xlfn.TEXTBEFORE(BK80," "))=4,0)),_xlfn.TEXTAFTER(BK80," "),BM79)</f>
        <v>Assessment</v>
      </c>
      <c r="BN80" t="str">
        <f t="shared" ref="BN80:BN143" si="147">_xlfn.CONCAT(IFERROR(VLOOKUP(BL80,BN$4:BO$13,2,0),""),LEFT(BM80,1),IF(BO80="",IF(AND(BO79&lt;&gt;"",BO81&lt;&gt;""),"Y","X"),"Y"))</f>
        <v>3.2.3.AX</v>
      </c>
      <c r="BO80" t="str">
        <f>IF(AND(BK80&lt;&gt;"",LEFT(BK80,1)&lt;&gt;"#"),IF(LEFT(BK80,1)="-",REPLACE(BK80,1,1,tech!$H$2),BK80),"")</f>
        <v/>
      </c>
      <c r="BP80" t="s">
        <v>495</v>
      </c>
      <c r="BQ80" s="492" t="s">
        <v>1154</v>
      </c>
      <c r="BR80" t="str">
        <f t="shared" si="120"/>
        <v>Audit trail can be reconstructed from audit logs</v>
      </c>
      <c r="BS80" t="str">
        <f t="shared" ref="BS80:BS83" si="148">IF(AND(LEFT(BQ80,1)="#",IFERROR(LEN(_xlfn.TEXTBEFORE(BQ80," "))=4,0)),_xlfn.TEXTAFTER(BQ80," "),BS79)</f>
        <v>References</v>
      </c>
      <c r="BT80" t="str">
        <f t="shared" ref="BT80:BT143" si="149">_xlfn.CONCAT(IFERROR(VLOOKUP(BR80,BT$4:BU$13,2,0),""),LEFT(BS80,1),IF(BU80="",IF(AND(BU79&lt;&gt;"",BU81&lt;&gt;""),"Y","X"),"Y"))</f>
        <v>3.3.3.RX</v>
      </c>
      <c r="BU80" t="str">
        <f>IF(AND(BQ80&lt;&gt;"",LEFT(BQ80,1)&lt;&gt;"#"),IF(LEFT(BQ80,1)="-",REPLACE(BQ80,1,1,tech!$H$2),BQ80),"")</f>
        <v/>
      </c>
      <c r="BV80" t="s">
        <v>495</v>
      </c>
      <c r="BW80" s="492" t="s">
        <v>1247</v>
      </c>
      <c r="BX80" t="str">
        <f t="shared" si="121"/>
        <v>Incidents and exceptions handling</v>
      </c>
      <c r="BY80" t="str">
        <f t="shared" ref="BY80:BY83" si="150">IF(AND(LEFT(BW80,1)="#",IFERROR(LEN(_xlfn.TEXTBEFORE(BW80," "))=4,0)),_xlfn.TEXTAFTER(BW80," "),BY79)</f>
        <v>Guidance</v>
      </c>
      <c r="BZ80" t="str">
        <f t="shared" ref="BZ80:BZ143" si="151">_xlfn.CONCAT(IFERROR(VLOOKUP(BX80,BZ$4:CA$13,2,0),""),LEFT(BY80,1),IF(CA80="",IF(AND(CA79&lt;&gt;"",CA81&lt;&gt;""),"Y","X"),"Y"))</f>
        <v>3.4.3.GY</v>
      </c>
      <c r="CA80" t="str">
        <f>IF(AND(BW80&lt;&gt;"",LEFT(BW80,1)&lt;&gt;"#"),IF(LEFT(BW80,1)="-",REPLACE(BW80,1,1,tech!$H$2),BW80),"")</f>
        <v>• incident handling and reporting</v>
      </c>
      <c r="CB80" t="s">
        <v>495</v>
      </c>
      <c r="CC80" s="492" t="s">
        <v>1269</v>
      </c>
      <c r="CD80" t="str">
        <f t="shared" si="122"/>
        <v>Resources are periodically reviewed</v>
      </c>
      <c r="CE80" t="str">
        <f t="shared" ref="CE80:CE83" si="152">IF(AND(LEFT(CC80,1)="#",IFERROR(LEN(_xlfn.TEXTBEFORE(CC80," "))=4,0)),_xlfn.TEXTAFTER(CC80," "),CE79)</f>
        <v>References</v>
      </c>
      <c r="CF80" t="str">
        <f t="shared" ref="CF80:CF143" si="153">_xlfn.CONCAT(IFERROR(VLOOKUP(CD80,CF$4:CG$13,2,0),""),LEFT(CE80,1),IF(CG80="",IF(AND(CG79&lt;&gt;"",CG81&lt;&gt;""),"Y","X"),"Y"))</f>
        <v>4.1.4.RX</v>
      </c>
      <c r="CG80" t="str">
        <f>IF(AND(CC80&lt;&gt;"",LEFT(CC80,1)&lt;&gt;"#"),IF(LEFT(CC80,1)="-",REPLACE(CC80,1,1,tech!$H$2),CC80),"")</f>
        <v/>
      </c>
      <c r="CH80" t="s">
        <v>495</v>
      </c>
      <c r="CI80" s="492" t="s">
        <v>1296</v>
      </c>
      <c r="CJ80" t="str">
        <f t="shared" si="123"/>
        <v>Responsible personnel receive training</v>
      </c>
      <c r="CK80" t="str">
        <f t="shared" ref="CK80:CK83" si="154">IF(AND(LEFT(CI80,1)="#",IFERROR(LEN(_xlfn.TEXTBEFORE(CI80," "))=4,0)),_xlfn.TEXTAFTER(CI80," "),CK79)</f>
        <v>References</v>
      </c>
      <c r="CL80" t="str">
        <f t="shared" ref="CL80:CL143" si="155">_xlfn.CONCAT(IFERROR(VLOOKUP(CJ80,CL$4:CM$13,2,0),""),LEFT(CK80,1),IF(CM80="",IF(AND(CM79&lt;&gt;"",CM81&lt;&gt;""),"Y","X"),"Y"))</f>
        <v>4.2.2.RY</v>
      </c>
      <c r="CM80" t="str">
        <f>IF(AND(CI80&lt;&gt;"",LEFT(CI80,1)&lt;&gt;"#"),IF(LEFT(CI80,1)="-",REPLACE(CI80,1,1,tech!$H$2),CI80),"")</f>
        <v>• [European Cybersecurity Skills Framework (ECSF)](https://www.enisa.europa.eu/topics/education/european-cybersecurity-skills-framework)</v>
      </c>
      <c r="CN80" t="s">
        <v>495</v>
      </c>
      <c r="CO80" s="492" t="s">
        <v>1374</v>
      </c>
      <c r="CP80" t="str">
        <f t="shared" si="124"/>
        <v>Establish single point of contact</v>
      </c>
      <c r="CQ80" t="str">
        <f t="shared" ref="CQ80:CQ83" si="156">IF(AND(LEFT(CO80,1)="#",IFERROR(LEN(_xlfn.TEXTBEFORE(CO80," "))=4,0)),_xlfn.TEXTAFTER(CO80," "),CQ79)</f>
        <v>Guidance</v>
      </c>
      <c r="CR80" t="str">
        <f t="shared" ref="CR80:CR143" si="157">_xlfn.CONCAT(IFERROR(VLOOKUP(CP80,CR$4:CS$13,2,0),""),LEFT(CQ80,1),IF(CS80="",IF(AND(CS79&lt;&gt;"",CS81&lt;&gt;""),"Y","X"),"Y"))</f>
        <v>4.3.3.GY</v>
      </c>
      <c r="CS80" t="str">
        <f>IF(AND(CO80&lt;&gt;"",LEFT(CO80,1)&lt;&gt;"#"),IF(LEFT(CO80,1)="-",REPLACE(CO80,1,1,tech!$H$2),CO80),"")</f>
        <v>The single point of contact (SPOC) provides a convenient way for any PKI participant to contact the organization and responsible personnel of the PKI implementation. The single point of contact should be available 24/7 and should be able to provide relevant information and trigger appropriate procedures if needed based on the situation.</v>
      </c>
      <c r="CT80" t="s">
        <v>495</v>
      </c>
    </row>
    <row r="81" spans="3:98" x14ac:dyDescent="0.25">
      <c r="C81" s="492" t="s">
        <v>479</v>
      </c>
      <c r="D81" t="str">
        <f t="shared" si="125"/>
        <v>Optimized</v>
      </c>
      <c r="E81" t="str">
        <f t="shared" si="126"/>
        <v>Indicators</v>
      </c>
      <c r="F81" t="str">
        <f>_xlfn.CONCAT(VLOOKUP(D81,tech!$A$13:$B$17,2,0),LEFT(E81,1),IF(G81="","X","Y"))</f>
        <v>5IY</v>
      </c>
      <c r="G81" t="str">
        <f>IF(IF(LEFT(C81,1)="-",C81,"")="","",REPLACE(IF(LEFT(C81,1)="-",C81,""),1,1,tech!$H$2))</f>
        <v>• resources with knowledge and experience available</v>
      </c>
      <c r="H81" t="s">
        <v>495</v>
      </c>
      <c r="I81" s="492"/>
      <c r="J81" t="str">
        <f t="shared" si="127"/>
        <v>Architecture and design of the PKI</v>
      </c>
      <c r="K81" t="str">
        <f t="shared" si="128"/>
        <v>Guidance</v>
      </c>
      <c r="L81" t="str">
        <f t="shared" si="129"/>
        <v>1.1.4.GY</v>
      </c>
      <c r="M81" t="str">
        <f>IF(AND(I81&lt;&gt;"",LEFT(I81,1)&lt;&gt;"#"),IF(LEFT(I81,1)="-",REPLACE(I81,1,1,tech!$H$2),I81),"")</f>
        <v/>
      </c>
      <c r="N81" t="s">
        <v>495</v>
      </c>
      <c r="O81" s="492" t="s">
        <v>559</v>
      </c>
      <c r="P81" t="str">
        <f t="shared" si="111"/>
        <v>Certification practice statement is documented and published</v>
      </c>
      <c r="Q81" t="str">
        <f t="shared" si="130"/>
        <v>References</v>
      </c>
      <c r="R81" t="str">
        <f t="shared" si="131"/>
        <v>1.2.3.RX</v>
      </c>
      <c r="S81" t="str">
        <f>IF(AND(O81&lt;&gt;"",LEFT(O81,1)&lt;&gt;"#"),IF(LEFT(O81,1)="-",REPLACE(O81,1,1,tech!$H$2),O81),"")</f>
        <v/>
      </c>
      <c r="T81" t="s">
        <v>495</v>
      </c>
      <c r="U81" s="492"/>
      <c r="V81" t="str">
        <f t="shared" si="112"/>
        <v>Responsibilities for the compliance are formally defined and assigned</v>
      </c>
      <c r="W81" t="str">
        <f t="shared" si="132"/>
        <v>References</v>
      </c>
      <c r="X81" t="str">
        <f t="shared" si="133"/>
        <v>1.3.3.RX</v>
      </c>
      <c r="Y81" t="str">
        <f>IF(AND(U81&lt;&gt;"",LEFT(U81,1)&lt;&gt;"#"),IF(LEFT(U81,1)="-",REPLACE(U81,1,1,tech!$H$2),U81),"")</f>
        <v/>
      </c>
      <c r="Z81" t="s">
        <v>495</v>
      </c>
      <c r="AA81" s="492"/>
      <c r="AB81" t="str">
        <f t="shared" si="113"/>
        <v>Recurring activities are executed on time</v>
      </c>
      <c r="AC81" t="str">
        <f t="shared" si="134"/>
        <v>References</v>
      </c>
      <c r="AD81" t="str">
        <f t="shared" si="135"/>
        <v>1.4.3.RX</v>
      </c>
      <c r="AE81" t="str">
        <f>IF(AND(AA81&lt;&gt;"",LEFT(AA81,1)&lt;&gt;"#"),IF(LEFT(AA81,1)="-",REPLACE(AA81,1,1,tech!$H$2),AA81),"")</f>
        <v/>
      </c>
      <c r="AF81" t="s">
        <v>495</v>
      </c>
      <c r="AG81" s="492" t="s">
        <v>751</v>
      </c>
      <c r="AH81" t="str">
        <f t="shared" si="114"/>
        <v>Inventory of cryptographic devices is documented and maintained</v>
      </c>
      <c r="AI81" t="str">
        <f t="shared" si="136"/>
        <v>Guidance</v>
      </c>
      <c r="AJ81" t="str">
        <f t="shared" si="137"/>
        <v>2.1.3.GY</v>
      </c>
      <c r="AK81" t="str">
        <f>IF(AND(AG81&lt;&gt;"",LEFT(AG81,1)&lt;&gt;"#"),IF(LEFT(AG81,1)="-",REPLACE(AG81,1,1,tech!$H$2),AG81),"")</f>
        <v>• Security certification and expiration dates</v>
      </c>
      <c r="AL81" t="s">
        <v>495</v>
      </c>
      <c r="AM81" s="492" t="s">
        <v>815</v>
      </c>
      <c r="AN81" t="str">
        <f t="shared" si="115"/>
        <v>Certificate lifecycle management is documented</v>
      </c>
      <c r="AO81" t="str">
        <f t="shared" si="138"/>
        <v>Guidance</v>
      </c>
      <c r="AP81" t="str">
        <f t="shared" si="139"/>
        <v>2.2.3.GY</v>
      </c>
      <c r="AQ81" t="str">
        <f>IF(AND(AM81&lt;&gt;"",LEFT(AM81,1)&lt;&gt;"#"),IF(LEFT(AM81,1)="-",REPLACE(AM81,1,1,tech!$H$2),AM81),"")</f>
        <v xml:space="preserve">   * When certificates need to be revoked it is important to have a well-defined certificate revocation process:</v>
      </c>
      <c r="AR81" t="s">
        <v>495</v>
      </c>
      <c r="AS81" s="492"/>
      <c r="AT81" t="str">
        <f t="shared" si="116"/>
        <v>Network vulnerability management is implemented and maintained</v>
      </c>
      <c r="AU81" t="str">
        <f t="shared" si="140"/>
        <v>Guidance</v>
      </c>
      <c r="AV81" t="str">
        <f t="shared" si="141"/>
        <v>2.3.3.GY</v>
      </c>
      <c r="AW81" t="str">
        <f>IF(AND(AS81&lt;&gt;"",LEFT(AS81,1)&lt;&gt;"#"),IF(LEFT(AS81,1)="-",REPLACE(AS81,1,1,tech!$H$2),AS81),"")</f>
        <v/>
      </c>
      <c r="AX81" t="s">
        <v>495</v>
      </c>
      <c r="AY81" s="492"/>
      <c r="AZ81" t="str">
        <f t="shared" si="117"/>
        <v>Request for change structure is documented and followed</v>
      </c>
      <c r="BA81" t="str">
        <f t="shared" si="142"/>
        <v>References</v>
      </c>
      <c r="BB81" t="str">
        <f t="shared" si="143"/>
        <v>2.4.2.RX</v>
      </c>
      <c r="BC81" t="str">
        <f>IF(AND(AY81&lt;&gt;"",LEFT(AY81,1)&lt;&gt;"#"),IF(LEFT(AY81,1)="-",REPLACE(AY81,1,1,tech!$H$2),AY81),"")</f>
        <v/>
      </c>
      <c r="BD81" t="s">
        <v>495</v>
      </c>
      <c r="BE81" s="492" t="s">
        <v>1061</v>
      </c>
      <c r="BF81" t="str">
        <f t="shared" si="118"/>
        <v>Business continuity planning and disaster recovery</v>
      </c>
      <c r="BG81" t="str">
        <f t="shared" si="144"/>
        <v>Guidance</v>
      </c>
      <c r="BH81" t="str">
        <f t="shared" si="145"/>
        <v>3.1.3.GY</v>
      </c>
      <c r="BI81" t="str">
        <f>IF(AND(BE81&lt;&gt;"",LEFT(BE81,1)&lt;&gt;"#"),IF(LEFT(BE81,1)="-",REPLACE(BE81,1,1,tech!$H$2),BE81),"")</f>
        <v>• Activation of disaster recovery</v>
      </c>
      <c r="BJ81" t="s">
        <v>495</v>
      </c>
      <c r="BK81" s="492"/>
      <c r="BL81" t="str">
        <f t="shared" si="119"/>
        <v>Adoption and application of open standards</v>
      </c>
      <c r="BM81" t="str">
        <f t="shared" si="146"/>
        <v>Assessment</v>
      </c>
      <c r="BN81" t="str">
        <f t="shared" si="147"/>
        <v>3.2.3.AX</v>
      </c>
      <c r="BO81" t="str">
        <f>IF(AND(BK81&lt;&gt;"",LEFT(BK81,1)&lt;&gt;"#"),IF(LEFT(BK81,1)="-",REPLACE(BK81,1,1,tech!$H$2),BK81),"")</f>
        <v/>
      </c>
      <c r="BP81" t="s">
        <v>495</v>
      </c>
      <c r="BQ81" s="492"/>
      <c r="BR81" t="str">
        <f t="shared" si="120"/>
        <v>Audit trail can be reconstructed from audit logs</v>
      </c>
      <c r="BS81" t="str">
        <f t="shared" si="148"/>
        <v>References</v>
      </c>
      <c r="BT81" t="str">
        <f t="shared" si="149"/>
        <v>3.3.3.RX</v>
      </c>
      <c r="BU81" t="str">
        <f>IF(AND(BQ81&lt;&gt;"",LEFT(BQ81,1)&lt;&gt;"#"),IF(LEFT(BQ81,1)="-",REPLACE(BQ81,1,1,tech!$H$2),BQ81),"")</f>
        <v/>
      </c>
      <c r="BV81" t="s">
        <v>495</v>
      </c>
      <c r="BW81" s="492" t="s">
        <v>573</v>
      </c>
      <c r="BX81" t="str">
        <f t="shared" si="121"/>
        <v>Incidents and exceptions handling</v>
      </c>
      <c r="BY81" t="str">
        <f t="shared" si="150"/>
        <v>Guidance</v>
      </c>
      <c r="BZ81" t="str">
        <f t="shared" si="151"/>
        <v>3.4.3.GY</v>
      </c>
      <c r="CA81" t="str">
        <f>IF(AND(BW81&lt;&gt;"",LEFT(BW81,1)&lt;&gt;"#"),IF(LEFT(BW81,1)="-",REPLACE(BW81,1,1,tech!$H$2),BW81),"")</f>
        <v>• any other relevant information</v>
      </c>
      <c r="CB81" t="s">
        <v>495</v>
      </c>
      <c r="CC81" s="492"/>
      <c r="CD81" t="str">
        <f t="shared" si="122"/>
        <v>Resources are periodically reviewed</v>
      </c>
      <c r="CE81" t="str">
        <f t="shared" si="152"/>
        <v>References</v>
      </c>
      <c r="CF81" t="str">
        <f t="shared" si="153"/>
        <v>4.1.4.RX</v>
      </c>
      <c r="CG81" t="str">
        <f>IF(AND(CC81&lt;&gt;"",LEFT(CC81,1)&lt;&gt;"#"),IF(LEFT(CC81,1)="-",REPLACE(CC81,1,1,tech!$H$2),CC81),"")</f>
        <v/>
      </c>
      <c r="CH81" t="s">
        <v>495</v>
      </c>
      <c r="CI81" s="492"/>
      <c r="CJ81" t="str">
        <f t="shared" si="123"/>
        <v>Responsible personnel receive training</v>
      </c>
      <c r="CK81" t="str">
        <f t="shared" si="154"/>
        <v>References</v>
      </c>
      <c r="CL81" t="str">
        <f t="shared" si="155"/>
        <v>4.2.2.RX</v>
      </c>
      <c r="CM81" t="str">
        <f>IF(AND(CI81&lt;&gt;"",LEFT(CI81,1)&lt;&gt;"#"),IF(LEFT(CI81,1)="-",REPLACE(CI81,1,1,tech!$H$2),CI81),"")</f>
        <v/>
      </c>
      <c r="CN81" t="s">
        <v>495</v>
      </c>
      <c r="CO81" s="492"/>
      <c r="CP81" t="str">
        <f t="shared" si="124"/>
        <v>Establish single point of contact</v>
      </c>
      <c r="CQ81" t="str">
        <f t="shared" si="156"/>
        <v>Guidance</v>
      </c>
      <c r="CR81" t="str">
        <f t="shared" si="157"/>
        <v>4.3.3.GY</v>
      </c>
      <c r="CS81" t="str">
        <f>IF(AND(CO81&lt;&gt;"",LEFT(CO81,1)&lt;&gt;"#"),IF(LEFT(CO81,1)="-",REPLACE(CO81,1,1,tech!$H$2),CO81),"")</f>
        <v/>
      </c>
      <c r="CT81" t="s">
        <v>495</v>
      </c>
    </row>
    <row r="82" spans="3:98" x14ac:dyDescent="0.25">
      <c r="C82" s="492" t="s">
        <v>480</v>
      </c>
      <c r="D82" t="str">
        <f t="shared" si="125"/>
        <v>Optimized</v>
      </c>
      <c r="E82" t="str">
        <f t="shared" si="126"/>
        <v>Indicators</v>
      </c>
      <c r="F82" t="str">
        <f>_xlfn.CONCAT(VLOOKUP(D82,tech!$A$13:$B$17,2,0),LEFT(E82,1),IF(G82="","X","Y"))</f>
        <v>5IY</v>
      </c>
      <c r="G82" t="str">
        <f>IF(IF(LEFT(C82,1)="-",C82,"")="","",REPLACE(IF(LEFT(C82,1)="-",C82,""),1,1,tech!$H$2))</f>
        <v>• Consistent PKI with alignment to current practice and regulation</v>
      </c>
      <c r="H82" t="s">
        <v>495</v>
      </c>
      <c r="I82" s="492" t="s">
        <v>516</v>
      </c>
      <c r="J82" t="str">
        <f t="shared" si="127"/>
        <v>Architecture and design of the PKI</v>
      </c>
      <c r="K82" t="str">
        <f t="shared" si="128"/>
        <v>Guidance</v>
      </c>
      <c r="L82" t="str">
        <f t="shared" si="129"/>
        <v>1.1.4.GY</v>
      </c>
      <c r="M82" t="str">
        <f>IF(AND(I82&lt;&gt;"",LEFT(I82,1)&lt;&gt;"#"),IF(LEFT(I82,1)="-",REPLACE(I82,1,1,tech!$H$2),I82),"")</f>
        <v>The architecture and design typically consists of the following:</v>
      </c>
      <c r="N82" t="s">
        <v>495</v>
      </c>
      <c r="O82" s="492"/>
      <c r="P82" t="str">
        <f t="shared" si="111"/>
        <v>Certification practice statement is documented and published</v>
      </c>
      <c r="Q82" t="str">
        <f t="shared" si="130"/>
        <v>References</v>
      </c>
      <c r="R82" t="str">
        <f t="shared" si="131"/>
        <v>1.2.3.RX</v>
      </c>
      <c r="S82" t="str">
        <f>IF(AND(O82&lt;&gt;"",LEFT(O82,1)&lt;&gt;"#"),IF(LEFT(O82,1)="-",REPLACE(O82,1,1,tech!$H$2),O82),"")</f>
        <v/>
      </c>
      <c r="T82" t="s">
        <v>495</v>
      </c>
      <c r="U82" s="492" t="s">
        <v>625</v>
      </c>
      <c r="V82" t="str">
        <f t="shared" si="112"/>
        <v>Responsibilities for the compliance are formally defined and assigned</v>
      </c>
      <c r="W82" t="str">
        <f t="shared" si="132"/>
        <v>References</v>
      </c>
      <c r="X82" t="str">
        <f t="shared" si="133"/>
        <v>1.3.3.RY</v>
      </c>
      <c r="Y82" t="str">
        <f>IF(AND(U82&lt;&gt;"",LEFT(U82,1)&lt;&gt;"#"),IF(LEFT(U82,1)="-",REPLACE(U82,1,1,tech!$H$2),U82),"")</f>
        <v>• [ISO 37301 - Compliance management systems and related standard](https://www.iso.org/standard/75080.html)</v>
      </c>
      <c r="Z82" t="s">
        <v>495</v>
      </c>
      <c r="AA82" s="492" t="s">
        <v>504</v>
      </c>
      <c r="AB82" t="str">
        <f t="shared" si="113"/>
        <v>Recurring activities are executed on time</v>
      </c>
      <c r="AC82" t="str">
        <f t="shared" si="134"/>
        <v>References</v>
      </c>
      <c r="AD82" t="str">
        <f t="shared" si="135"/>
        <v>1.4.3.RY</v>
      </c>
      <c r="AE82" t="str">
        <f>IF(AND(AA82&lt;&gt;"",LEFT(AA82,1)&lt;&gt;"#"),IF(LEFT(AA82,1)="-",REPLACE(AA82,1,1,tech!$H$2),AA82),"")</f>
        <v>• [ISO/IEC 27001 - Information security management systems](https://www.iso.org/standard/54534.html)</v>
      </c>
      <c r="AF82" t="s">
        <v>495</v>
      </c>
      <c r="AG82" s="492" t="s">
        <v>752</v>
      </c>
      <c r="AH82" t="str">
        <f t="shared" si="114"/>
        <v>Inventory of cryptographic devices is documented and maintained</v>
      </c>
      <c r="AI82" t="str">
        <f t="shared" si="136"/>
        <v>Guidance</v>
      </c>
      <c r="AJ82" t="str">
        <f t="shared" si="137"/>
        <v>2.1.3.GY</v>
      </c>
      <c r="AK82" t="str">
        <f>IF(AND(AG82&lt;&gt;"",LEFT(AG82,1)&lt;&gt;"#"),IF(LEFT(AG82,1)="-",REPLACE(AG82,1,1,tech!$H$2),AG82),"")</f>
        <v>• Locations</v>
      </c>
      <c r="AL82" t="s">
        <v>495</v>
      </c>
      <c r="AM82" s="492" t="s">
        <v>816</v>
      </c>
      <c r="AN82" t="str">
        <f t="shared" si="115"/>
        <v>Certificate lifecycle management is documented</v>
      </c>
      <c r="AO82" t="str">
        <f t="shared" si="138"/>
        <v>Guidance</v>
      </c>
      <c r="AP82" t="str">
        <f t="shared" si="139"/>
        <v>2.2.3.GY</v>
      </c>
      <c r="AQ82" t="str">
        <f>IF(AND(AM82&lt;&gt;"",LEFT(AM82,1)&lt;&gt;"#"),IF(LEFT(AM82,1)="-",REPLACE(AM82,1,1,tech!$H$2),AM82),"")</f>
        <v xml:space="preserve">     * How subjects can request a certificate be revoked</v>
      </c>
      <c r="AR82" t="s">
        <v>495</v>
      </c>
      <c r="AS82" s="492" t="s">
        <v>905</v>
      </c>
      <c r="AT82" t="str">
        <f t="shared" si="116"/>
        <v>Network vulnerability management is implemented and maintained</v>
      </c>
      <c r="AU82" t="str">
        <f t="shared" si="140"/>
        <v>Guidance</v>
      </c>
      <c r="AV82" t="str">
        <f t="shared" si="141"/>
        <v>2.3.3.GY</v>
      </c>
      <c r="AW82" t="str">
        <f>IF(AND(AS82&lt;&gt;"",LEFT(AS82,1)&lt;&gt;"#"),IF(LEFT(AS82,1)="-",REPLACE(AS82,1,1,tech!$H$2),AS82),"")</f>
        <v>The network vulnerability management should include the following:</v>
      </c>
      <c r="AX82" t="s">
        <v>495</v>
      </c>
      <c r="AY82" s="492" t="s">
        <v>971</v>
      </c>
      <c r="AZ82" t="str">
        <f t="shared" si="117"/>
        <v>The change management process is documented and implemented</v>
      </c>
      <c r="BA82" t="str">
        <f t="shared" si="142"/>
        <v>References</v>
      </c>
      <c r="BB82" t="str">
        <f t="shared" si="143"/>
        <v>2.4.3.RX</v>
      </c>
      <c r="BC82" t="str">
        <f>IF(AND(AY82&lt;&gt;"",LEFT(AY82,1)&lt;&gt;"#"),IF(LEFT(AY82,1)="-",REPLACE(AY82,1,1,tech!$H$2),AY82),"")</f>
        <v/>
      </c>
      <c r="BD82" t="s">
        <v>495</v>
      </c>
      <c r="BE82" s="492" t="s">
        <v>1062</v>
      </c>
      <c r="BF82" t="str">
        <f t="shared" si="118"/>
        <v>Business continuity planning and disaster recovery</v>
      </c>
      <c r="BG82" t="str">
        <f t="shared" si="144"/>
        <v>Guidance</v>
      </c>
      <c r="BH82" t="str">
        <f t="shared" si="145"/>
        <v>3.1.3.GY</v>
      </c>
      <c r="BI82" t="str">
        <f>IF(AND(BE82&lt;&gt;"",LEFT(BE82,1)&lt;&gt;"#"),IF(LEFT(BE82,1)="-",REPLACE(BE82,1,1,tech!$H$2),BE82),"")</f>
        <v>• Physical Locations</v>
      </c>
      <c r="BJ82" t="s">
        <v>495</v>
      </c>
      <c r="BK82" s="492" t="s">
        <v>1095</v>
      </c>
      <c r="BL82" t="str">
        <f t="shared" si="119"/>
        <v>Adoption and application of open standards</v>
      </c>
      <c r="BM82" t="str">
        <f t="shared" si="146"/>
        <v>Assessment</v>
      </c>
      <c r="BN82" t="str">
        <f t="shared" si="147"/>
        <v>3.2.3.AY</v>
      </c>
      <c r="BO82" t="str">
        <f>IF(AND(BK82&lt;&gt;"",LEFT(BK82,1)&lt;&gt;"#"),IF(LEFT(BK82,1)="-",REPLACE(BK82,1,1,tech!$H$2),BK82),"")</f>
        <v>The following evidence should be available for the assessment of the requirement:</v>
      </c>
      <c r="BP82" t="s">
        <v>495</v>
      </c>
      <c r="BQ82" s="492" t="s">
        <v>498</v>
      </c>
      <c r="BR82" t="str">
        <f t="shared" si="120"/>
        <v>Audit trail can be reconstructed from audit logs</v>
      </c>
      <c r="BS82" t="str">
        <f t="shared" si="148"/>
        <v>Guidance</v>
      </c>
      <c r="BT82" t="str">
        <f t="shared" si="149"/>
        <v>3.3.3.GX</v>
      </c>
      <c r="BU82" t="str">
        <f>IF(AND(BQ82&lt;&gt;"",LEFT(BQ82,1)&lt;&gt;"#"),IF(LEFT(BQ82,1)="-",REPLACE(BQ82,1,1,tech!$H$2),BQ82),"")</f>
        <v/>
      </c>
      <c r="BV82" t="s">
        <v>495</v>
      </c>
      <c r="BW82" s="492"/>
      <c r="BX82" t="str">
        <f t="shared" si="121"/>
        <v>Incidents and exceptions handling</v>
      </c>
      <c r="BY82" t="str">
        <f t="shared" si="150"/>
        <v>Guidance</v>
      </c>
      <c r="BZ82" t="str">
        <f t="shared" si="151"/>
        <v>3.4.3.GY</v>
      </c>
      <c r="CA82" t="str">
        <f>IF(AND(BW82&lt;&gt;"",LEFT(BW82,1)&lt;&gt;"#"),IF(LEFT(BW82,1)="-",REPLACE(BW82,1,1,tech!$H$2),BW82),"")</f>
        <v/>
      </c>
      <c r="CB82" t="s">
        <v>495</v>
      </c>
      <c r="CC82" s="492" t="s">
        <v>498</v>
      </c>
      <c r="CD82" t="str">
        <f t="shared" si="122"/>
        <v>Resources are periodically reviewed</v>
      </c>
      <c r="CE82" t="str">
        <f t="shared" si="152"/>
        <v>Guidance</v>
      </c>
      <c r="CF82" t="str">
        <f t="shared" si="153"/>
        <v>4.1.4.GX</v>
      </c>
      <c r="CG82" t="str">
        <f>IF(AND(CC82&lt;&gt;"",LEFT(CC82,1)&lt;&gt;"#"),IF(LEFT(CC82,1)="-",REPLACE(CC82,1,1,tech!$H$2),CC82),"")</f>
        <v/>
      </c>
      <c r="CH82" t="s">
        <v>495</v>
      </c>
      <c r="CI82" s="492" t="s">
        <v>1303</v>
      </c>
      <c r="CJ82" t="str">
        <f t="shared" si="123"/>
        <v>Perform security awareness training</v>
      </c>
      <c r="CK82" t="str">
        <f t="shared" si="154"/>
        <v>References</v>
      </c>
      <c r="CL82" t="str">
        <f t="shared" si="155"/>
        <v>4.2.3.RX</v>
      </c>
      <c r="CM82" t="str">
        <f>IF(AND(CI82&lt;&gt;"",LEFT(CI82,1)&lt;&gt;"#"),IF(LEFT(CI82,1)="-",REPLACE(CI82,1,1,tech!$H$2),CI82),"")</f>
        <v/>
      </c>
      <c r="CN82" t="s">
        <v>495</v>
      </c>
      <c r="CO82" s="492" t="s">
        <v>1375</v>
      </c>
      <c r="CP82" t="str">
        <f t="shared" si="124"/>
        <v>Establish single point of contact</v>
      </c>
      <c r="CQ82" t="str">
        <f t="shared" si="156"/>
        <v>Guidance</v>
      </c>
      <c r="CR82" t="str">
        <f t="shared" si="157"/>
        <v>4.3.3.GY</v>
      </c>
      <c r="CS82" t="str">
        <f>IF(AND(CO82&lt;&gt;"",LEFT(CO82,1)&lt;&gt;"#"),IF(LEFT(CO82,1)="-",REPLACE(CO82,1,1,tech!$H$2),CO82),"")</f>
        <v>Contact information for the SPOC should be disclosed to all PKI participants.</v>
      </c>
      <c r="CT82" t="s">
        <v>495</v>
      </c>
    </row>
    <row r="83" spans="3:98" x14ac:dyDescent="0.25">
      <c r="C83" s="492" t="s">
        <v>481</v>
      </c>
      <c r="D83" t="str">
        <f t="shared" si="125"/>
        <v>Optimized</v>
      </c>
      <c r="E83" t="str">
        <f t="shared" si="126"/>
        <v>Indicators</v>
      </c>
      <c r="F83" t="str">
        <f>_xlfn.CONCAT(VLOOKUP(D83,tech!$A$13:$B$17,2,0),LEFT(E83,1),IF(G83="","X","Y"))</f>
        <v>5IY</v>
      </c>
      <c r="G83" t="str">
        <f>IF(IF(LEFT(C83,1)="-",C83,"")="","",REPLACE(IF(LEFT(C83,1)="-",C83,""),1,1,tech!$H$2))</f>
        <v>• Future proof</v>
      </c>
      <c r="H83" t="s">
        <v>495</v>
      </c>
      <c r="I83" s="492" t="s">
        <v>529</v>
      </c>
      <c r="J83" t="str">
        <f t="shared" si="127"/>
        <v>Architecture and design of the PKI</v>
      </c>
      <c r="K83" t="str">
        <f t="shared" si="128"/>
        <v>Guidance</v>
      </c>
      <c r="L83" t="str">
        <f t="shared" si="129"/>
        <v>1.1.4.GY</v>
      </c>
      <c r="M83" t="str">
        <f>IF(AND(I83&lt;&gt;"",LEFT(I83,1)&lt;&gt;"#"),IF(LEFT(I83,1)="-",REPLACE(I83,1,1,tech!$H$2),I83),"")</f>
        <v>• Functional and technical design description</v>
      </c>
      <c r="N83" t="s">
        <v>495</v>
      </c>
      <c r="O83" s="492" t="s">
        <v>498</v>
      </c>
      <c r="P83" t="str">
        <f t="shared" si="111"/>
        <v>Certification practice statement is documented and published</v>
      </c>
      <c r="Q83" t="str">
        <f t="shared" si="130"/>
        <v>Guidance</v>
      </c>
      <c r="R83" t="str">
        <f t="shared" si="131"/>
        <v>1.2.3.GX</v>
      </c>
      <c r="S83" t="str">
        <f>IF(AND(O83&lt;&gt;"",LEFT(O83,1)&lt;&gt;"#"),IF(LEFT(O83,1)="-",REPLACE(O83,1,1,tech!$H$2),O83),"")</f>
        <v/>
      </c>
      <c r="T83" t="s">
        <v>495</v>
      </c>
      <c r="U83" s="492" t="s">
        <v>626</v>
      </c>
      <c r="V83" t="str">
        <f t="shared" si="112"/>
        <v>Responsibilities for the compliance are formally defined and assigned</v>
      </c>
      <c r="W83" t="str">
        <f t="shared" si="132"/>
        <v>References</v>
      </c>
      <c r="X83" t="str">
        <f t="shared" si="133"/>
        <v>1.3.3.RY</v>
      </c>
      <c r="Y83" t="str">
        <f>IF(AND(U83&lt;&gt;"",LEFT(U83,1)&lt;&gt;"#"),IF(LEFT(U83,1)="-",REPLACE(U83,1,1,tech!$H$2),U83),"")</f>
        <v>• [NIST Risk Management Framework](https://csrc.nist.gov/Projects/risk-management)</v>
      </c>
      <c r="Z83" t="s">
        <v>495</v>
      </c>
      <c r="AA83" s="492" t="s">
        <v>551</v>
      </c>
      <c r="AB83" t="str">
        <f t="shared" si="113"/>
        <v>Recurring activities are executed on time</v>
      </c>
      <c r="AC83" t="str">
        <f t="shared" si="134"/>
        <v>References</v>
      </c>
      <c r="AD83" t="str">
        <f t="shared" si="135"/>
        <v>1.4.3.RY</v>
      </c>
      <c r="AE83" t="str">
        <f>IF(AND(AA83&lt;&gt;"",LEFT(AA83,1)&lt;&gt;"#"),IF(LEFT(AA83,1)="-",REPLACE(AA83,1,1,tech!$H$2),AA83),"")</f>
        <v>• [RFC 3647 - Internet X.509 Public Key Infrastructure Certificate Policy and Certification Practices Framework](https://tools.ietf.org/html/rfc3647)</v>
      </c>
      <c r="AF83" t="s">
        <v>495</v>
      </c>
      <c r="AG83" s="492"/>
      <c r="AH83" t="str">
        <f t="shared" si="114"/>
        <v>Inventory of cryptographic devices is documented and maintained</v>
      </c>
      <c r="AI83" t="str">
        <f t="shared" si="136"/>
        <v>Guidance</v>
      </c>
      <c r="AJ83" t="str">
        <f t="shared" si="137"/>
        <v>2.1.3.GX</v>
      </c>
      <c r="AK83" t="str">
        <f>IF(AND(AG83&lt;&gt;"",LEFT(AG83,1)&lt;&gt;"#"),IF(LEFT(AG83,1)="-",REPLACE(AG83,1,1,tech!$H$2),AG83),"")</f>
        <v/>
      </c>
      <c r="AL83" t="s">
        <v>495</v>
      </c>
      <c r="AM83" s="492" t="s">
        <v>817</v>
      </c>
      <c r="AN83" t="str">
        <f t="shared" si="115"/>
        <v>Certificate lifecycle management is documented</v>
      </c>
      <c r="AO83" t="str">
        <f t="shared" si="138"/>
        <v>Guidance</v>
      </c>
      <c r="AP83" t="str">
        <f t="shared" si="139"/>
        <v>2.2.3.GY</v>
      </c>
      <c r="AQ83" t="str">
        <f>IF(AND(AM83&lt;&gt;"",LEFT(AM83,1)&lt;&gt;"#"),IF(LEFT(AM83,1)="-",REPLACE(AM83,1,1,tech!$H$2),AM83),"")</f>
        <v xml:space="preserve">     * How to report misuse of certificates</v>
      </c>
      <c r="AR83" t="s">
        <v>495</v>
      </c>
      <c r="AS83" s="492" t="s">
        <v>932</v>
      </c>
      <c r="AT83" t="str">
        <f t="shared" si="116"/>
        <v>Network vulnerability management is implemented and maintained</v>
      </c>
      <c r="AU83" t="str">
        <f t="shared" si="140"/>
        <v>Guidance</v>
      </c>
      <c r="AV83" t="str">
        <f t="shared" si="141"/>
        <v>2.3.3.GY</v>
      </c>
      <c r="AW83" t="str">
        <f>IF(AND(AS83&lt;&gt;"",LEFT(AS83,1)&lt;&gt;"#"),IF(LEFT(AS83,1)="-",REPLACE(AS83,1,1,tech!$H$2),AS83),"")</f>
        <v>• Included in the overall vulnerability management process</v>
      </c>
      <c r="AX83" t="s">
        <v>495</v>
      </c>
      <c r="AY83" s="492"/>
      <c r="AZ83" t="str">
        <f t="shared" si="117"/>
        <v>The change management process is documented and implemented</v>
      </c>
      <c r="BA83" t="str">
        <f t="shared" si="142"/>
        <v>References</v>
      </c>
      <c r="BB83" t="str">
        <f t="shared" si="143"/>
        <v>2.4.3.RX</v>
      </c>
      <c r="BC83" t="str">
        <f>IF(AND(AY83&lt;&gt;"",LEFT(AY83,1)&lt;&gt;"#"),IF(LEFT(AY83,1)="-",REPLACE(AY83,1,1,tech!$H$2),AY83),"")</f>
        <v/>
      </c>
      <c r="BD83" t="s">
        <v>495</v>
      </c>
      <c r="BE83" s="492" t="s">
        <v>1063</v>
      </c>
      <c r="BF83" t="str">
        <f t="shared" si="118"/>
        <v>Business continuity planning and disaster recovery</v>
      </c>
      <c r="BG83" t="str">
        <f t="shared" si="144"/>
        <v>Guidance</v>
      </c>
      <c r="BH83" t="str">
        <f t="shared" si="145"/>
        <v>3.1.3.GY</v>
      </c>
      <c r="BI83" t="str">
        <f>IF(AND(BE83&lt;&gt;"",LEFT(BE83,1)&lt;&gt;"#"),IF(LEFT(BE83,1)="-",REPLACE(BE83,1,1,tech!$H$2),BE83),"")</f>
        <v>• Communication matrix</v>
      </c>
      <c r="BJ83" t="s">
        <v>495</v>
      </c>
      <c r="BK83" s="492" t="s">
        <v>1131</v>
      </c>
      <c r="BL83" t="str">
        <f t="shared" si="119"/>
        <v>Adoption and application of open standards</v>
      </c>
      <c r="BM83" t="str">
        <f t="shared" si="146"/>
        <v>Assessment</v>
      </c>
      <c r="BN83" t="str">
        <f t="shared" si="147"/>
        <v>3.2.3.AY</v>
      </c>
      <c r="BO83" t="str">
        <f>IF(AND(BK83&lt;&gt;"",LEFT(BK83,1)&lt;&gt;"#"),IF(LEFT(BK83,1)="-",REPLACE(BK83,1,1,tech!$H$2),BK83),"")</f>
        <v>• Documented list of open standards used by the PKI</v>
      </c>
      <c r="BP83" t="s">
        <v>495</v>
      </c>
      <c r="BQ83" s="492"/>
      <c r="BR83" t="str">
        <f t="shared" si="120"/>
        <v>Audit trail can be reconstructed from audit logs</v>
      </c>
      <c r="BS83" t="str">
        <f t="shared" si="148"/>
        <v>Guidance</v>
      </c>
      <c r="BT83" t="str">
        <f t="shared" si="149"/>
        <v>3.3.3.GX</v>
      </c>
      <c r="BU83" t="str">
        <f>IF(AND(BQ83&lt;&gt;"",LEFT(BQ83,1)&lt;&gt;"#"),IF(LEFT(BQ83,1)="-",REPLACE(BQ83,1,1,tech!$H$2),BQ83),"")</f>
        <v/>
      </c>
      <c r="BV83" t="s">
        <v>495</v>
      </c>
      <c r="BW83" s="492" t="s">
        <v>1226</v>
      </c>
      <c r="BX83" t="str">
        <f t="shared" si="121"/>
        <v>Incidents and exceptions handling</v>
      </c>
      <c r="BY83" t="str">
        <f t="shared" si="150"/>
        <v>Guidance</v>
      </c>
      <c r="BZ83" t="str">
        <f t="shared" si="151"/>
        <v>3.4.3.GY</v>
      </c>
      <c r="CA83" t="str">
        <f>IF(AND(BW83&lt;&gt;"",LEFT(BW83,1)&lt;&gt;"#"),IF(LEFT(BW83,1)="-",REPLACE(BW83,1,1,tech!$H$2),BW83),"")</f>
        <v>The handling of exceptions should be tested and verified on a regular basis to ensure that the process is working as expected.</v>
      </c>
      <c r="CB83" t="s">
        <v>495</v>
      </c>
      <c r="CC83" s="492"/>
      <c r="CD83" t="str">
        <f t="shared" si="122"/>
        <v>Resources are periodically reviewed</v>
      </c>
      <c r="CE83" t="str">
        <f t="shared" si="152"/>
        <v>Guidance</v>
      </c>
      <c r="CF83" t="str">
        <f t="shared" si="153"/>
        <v>4.1.4.GX</v>
      </c>
      <c r="CG83" t="str">
        <f>IF(AND(CC83&lt;&gt;"",LEFT(CC83,1)&lt;&gt;"#"),IF(LEFT(CC83,1)="-",REPLACE(CC83,1,1,tech!$H$2),CC83),"")</f>
        <v/>
      </c>
      <c r="CH83" t="s">
        <v>495</v>
      </c>
      <c r="CI83" s="492"/>
      <c r="CJ83" t="str">
        <f t="shared" si="123"/>
        <v>Perform security awareness training</v>
      </c>
      <c r="CK83" t="str">
        <f t="shared" si="154"/>
        <v>References</v>
      </c>
      <c r="CL83" t="str">
        <f t="shared" si="155"/>
        <v>4.2.3.RX</v>
      </c>
      <c r="CM83" t="str">
        <f>IF(AND(CI83&lt;&gt;"",LEFT(CI83,1)&lt;&gt;"#"),IF(LEFT(CI83,1)="-",REPLACE(CI83,1,1,tech!$H$2),CI83),"")</f>
        <v/>
      </c>
      <c r="CN83" t="s">
        <v>495</v>
      </c>
      <c r="CO83" s="492" t="s">
        <v>1376</v>
      </c>
      <c r="CP83" t="str">
        <f t="shared" si="124"/>
        <v>Establish single point of contact</v>
      </c>
      <c r="CQ83" t="str">
        <f t="shared" si="156"/>
        <v>Guidance</v>
      </c>
      <c r="CR83" t="str">
        <f t="shared" si="157"/>
        <v>4.3.3.GY</v>
      </c>
      <c r="CS83" t="str">
        <f>IF(AND(CO83&lt;&gt;"",LEFT(CO83,1)&lt;&gt;"#"),IF(LEFT(CO83,1)="-",REPLACE(CO83,1,1,tech!$H$2),CO83),"")</f>
        <v>The SPOC may be reached through different communication channels, such as:</v>
      </c>
      <c r="CT83" t="s">
        <v>495</v>
      </c>
    </row>
    <row r="84" spans="3:98" x14ac:dyDescent="0.25">
      <c r="C84" s="492"/>
      <c r="D84" t="str">
        <f t="shared" si="125"/>
        <v>Optimized</v>
      </c>
      <c r="E84" t="str">
        <f t="shared" si="126"/>
        <v>Indicators</v>
      </c>
      <c r="F84" t="str">
        <f>_xlfn.CONCAT(VLOOKUP(D84,tech!$A$13:$B$17,2,0),LEFT(E84,1),IF(G84="","X","Y"))</f>
        <v>5IX</v>
      </c>
      <c r="G84" t="str">
        <f>IF(IF(LEFT(C84,1)="-",C84,"")="","",REPLACE(IF(LEFT(C84,1)="-",C84,""),1,1,tech!$H$2))</f>
        <v/>
      </c>
      <c r="H84" t="s">
        <v>495</v>
      </c>
      <c r="I84" s="492" t="s">
        <v>530</v>
      </c>
      <c r="J84" t="str">
        <f t="shared" si="127"/>
        <v>Architecture and design of the PKI</v>
      </c>
      <c r="K84" t="str">
        <f>IF(AND(LEFT(I84,1)="#",IFERROR(LEN(_xlfn.TEXTBEFORE(I84," "))=4,0)),_xlfn.TEXTAFTER(I84," "),K83)</f>
        <v>Guidance</v>
      </c>
      <c r="L84" t="str">
        <f t="shared" si="129"/>
        <v>1.1.4.GY</v>
      </c>
      <c r="M84" t="str">
        <f>IF(AND(I84&lt;&gt;"",LEFT(I84,1)&lt;&gt;"#"),IF(LEFT(I84,1)="-",REPLACE(I84,1,1,tech!$H$2),I84),"")</f>
        <v>• description of logical components</v>
      </c>
      <c r="N84" t="s">
        <v>495</v>
      </c>
      <c r="O84" s="492"/>
      <c r="P84" t="str">
        <f t="shared" si="111"/>
        <v>Certification practice statement is documented and published</v>
      </c>
      <c r="Q84" t="str">
        <f>IF(AND(LEFT(O84,1)="#",IFERROR(LEN(_xlfn.TEXTBEFORE(O84," "))=4,0)),_xlfn.TEXTAFTER(O84," "),Q83)</f>
        <v>Guidance</v>
      </c>
      <c r="R84" t="str">
        <f t="shared" si="131"/>
        <v>1.2.3.GX</v>
      </c>
      <c r="S84" t="str">
        <f>IF(AND(O84&lt;&gt;"",LEFT(O84,1)&lt;&gt;"#"),IF(LEFT(O84,1)="-",REPLACE(O84,1,1,tech!$H$2),O84),"")</f>
        <v/>
      </c>
      <c r="T84" t="s">
        <v>495</v>
      </c>
      <c r="U84" s="492"/>
      <c r="V84" t="str">
        <f t="shared" si="112"/>
        <v>Responsibilities for the compliance are formally defined and assigned</v>
      </c>
      <c r="W84" t="str">
        <f>IF(AND(LEFT(U84,1)="#",IFERROR(LEN(_xlfn.TEXTBEFORE(U84," "))=4,0)),_xlfn.TEXTAFTER(U84," "),W83)</f>
        <v>References</v>
      </c>
      <c r="X84" t="str">
        <f t="shared" si="133"/>
        <v>1.3.3.RX</v>
      </c>
      <c r="Y84" t="str">
        <f>IF(AND(U84&lt;&gt;"",LEFT(U84,1)&lt;&gt;"#"),IF(LEFT(U84,1)="-",REPLACE(U84,1,1,tech!$H$2),U84),"")</f>
        <v/>
      </c>
      <c r="Z84" t="s">
        <v>495</v>
      </c>
      <c r="AA84" s="492"/>
      <c r="AB84" t="str">
        <f t="shared" si="113"/>
        <v>Recurring activities are executed on time</v>
      </c>
      <c r="AC84" t="str">
        <f>IF(AND(LEFT(AA84,1)="#",IFERROR(LEN(_xlfn.TEXTBEFORE(AA84," "))=4,0)),_xlfn.TEXTAFTER(AA84," "),AC83)</f>
        <v>References</v>
      </c>
      <c r="AD84" t="str">
        <f t="shared" si="135"/>
        <v>1.4.3.RX</v>
      </c>
      <c r="AE84" t="str">
        <f>IF(AND(AA84&lt;&gt;"",LEFT(AA84,1)&lt;&gt;"#"),IF(LEFT(AA84,1)="-",REPLACE(AA84,1,1,tech!$H$2),AA84),"")</f>
        <v/>
      </c>
      <c r="AF84" t="s">
        <v>495</v>
      </c>
      <c r="AG84" s="492" t="s">
        <v>501</v>
      </c>
      <c r="AH84" t="str">
        <f t="shared" si="114"/>
        <v>Inventory of cryptographic devices is documented and maintained</v>
      </c>
      <c r="AI84" t="str">
        <f>IF(AND(LEFT(AG84,1)="#",IFERROR(LEN(_xlfn.TEXTBEFORE(AG84," "))=4,0)),_xlfn.TEXTAFTER(AG84," "),AI83)</f>
        <v>Assessment</v>
      </c>
      <c r="AJ84" t="str">
        <f t="shared" si="137"/>
        <v>2.1.3.AX</v>
      </c>
      <c r="AK84" t="str">
        <f>IF(AND(AG84&lt;&gt;"",LEFT(AG84,1)&lt;&gt;"#"),IF(LEFT(AG84,1)="-",REPLACE(AG84,1,1,tech!$H$2),AG84),"")</f>
        <v/>
      </c>
      <c r="AL84" t="s">
        <v>495</v>
      </c>
      <c r="AM84" s="492" t="s">
        <v>818</v>
      </c>
      <c r="AN84" t="str">
        <f t="shared" si="115"/>
        <v>Certificate lifecycle management is documented</v>
      </c>
      <c r="AO84" t="str">
        <f>IF(AND(LEFT(AM84,1)="#",IFERROR(LEN(_xlfn.TEXTBEFORE(AM84," "))=4,0)),_xlfn.TEXTAFTER(AM84," "),AO83)</f>
        <v>Guidance</v>
      </c>
      <c r="AP84" t="str">
        <f t="shared" si="139"/>
        <v>2.2.3.GY</v>
      </c>
      <c r="AQ84" t="str">
        <f>IF(AND(AM84&lt;&gt;"",LEFT(AM84,1)&lt;&gt;"#"),IF(LEFT(AM84,1)="-",REPLACE(AM84,1,1,tech!$H$2),AM84),"")</f>
        <v xml:space="preserve">     * Expected time for revocation to be completed after a revocation request</v>
      </c>
      <c r="AR84" t="s">
        <v>495</v>
      </c>
      <c r="AS84" s="492" t="s">
        <v>933</v>
      </c>
      <c r="AT84" t="str">
        <f t="shared" si="116"/>
        <v>Network vulnerability management is implemented and maintained</v>
      </c>
      <c r="AU84" t="str">
        <f>IF(AND(LEFT(AS84,1)="#",IFERROR(LEN(_xlfn.TEXTBEFORE(AS84," "))=4,0)),_xlfn.TEXTAFTER(AS84," "),AU83)</f>
        <v>Guidance</v>
      </c>
      <c r="AV84" t="str">
        <f t="shared" si="141"/>
        <v>2.3.3.GY</v>
      </c>
      <c r="AW84" t="str">
        <f>IF(AND(AS84&lt;&gt;"",LEFT(AS84,1)&lt;&gt;"#"),IF(LEFT(AS84,1)="-",REPLACE(AS84,1,1,tech!$H$2),AS84),"")</f>
        <v>• Periodical scanning of the network infrastructure</v>
      </c>
      <c r="AX84" t="s">
        <v>495</v>
      </c>
      <c r="AY84" s="492" t="s">
        <v>498</v>
      </c>
      <c r="AZ84" t="str">
        <f t="shared" si="117"/>
        <v>The change management process is documented and implemented</v>
      </c>
      <c r="BA84" t="str">
        <f>IF(AND(LEFT(AY84,1)="#",IFERROR(LEN(_xlfn.TEXTBEFORE(AY84," "))=4,0)),_xlfn.TEXTAFTER(AY84," "),BA83)</f>
        <v>Guidance</v>
      </c>
      <c r="BB84" t="str">
        <f t="shared" si="143"/>
        <v>2.4.3.GX</v>
      </c>
      <c r="BC84" t="str">
        <f>IF(AND(AY84&lt;&gt;"",LEFT(AY84,1)&lt;&gt;"#"),IF(LEFT(AY84,1)="-",REPLACE(AY84,1,1,tech!$H$2),AY84),"")</f>
        <v/>
      </c>
      <c r="BD84" t="s">
        <v>495</v>
      </c>
      <c r="BE84" s="492" t="s">
        <v>1064</v>
      </c>
      <c r="BF84" t="str">
        <f t="shared" si="118"/>
        <v>Business continuity planning and disaster recovery</v>
      </c>
      <c r="BG84" t="str">
        <f>IF(AND(LEFT(BE84,1)="#",IFERROR(LEN(_xlfn.TEXTBEFORE(BE84," "))=4,0)),_xlfn.TEXTAFTER(BE84," "),BG83)</f>
        <v>Guidance</v>
      </c>
      <c r="BH84" t="str">
        <f t="shared" si="145"/>
        <v>3.1.3.GY</v>
      </c>
      <c r="BI84" t="str">
        <f>IF(AND(BE84&lt;&gt;"",LEFT(BE84,1)&lt;&gt;"#"),IF(LEFT(BE84,1)="-",REPLACE(BE84,1,1,tech!$H$2),BE84),"")</f>
        <v>• other requirements and information needed</v>
      </c>
      <c r="BJ84" t="s">
        <v>495</v>
      </c>
      <c r="BK84" s="492" t="s">
        <v>1132</v>
      </c>
      <c r="BL84" t="str">
        <f t="shared" si="119"/>
        <v>Adoption and application of open standards</v>
      </c>
      <c r="BM84" t="str">
        <f>IF(AND(LEFT(BK84,1)="#",IFERROR(LEN(_xlfn.TEXTBEFORE(BK84," "))=4,0)),_xlfn.TEXTAFTER(BK84," "),BM83)</f>
        <v>Assessment</v>
      </c>
      <c r="BN84" t="str">
        <f t="shared" si="147"/>
        <v>3.2.3.AY</v>
      </c>
      <c r="BO84" t="str">
        <f>IF(AND(BK84&lt;&gt;"",LEFT(BK84,1)&lt;&gt;"#"),IF(LEFT(BK84,1)="-",REPLACE(BK84,1,1,tech!$H$2),BK84),"")</f>
        <v>• Policies requiring the use of open standards</v>
      </c>
      <c r="BP84" t="s">
        <v>495</v>
      </c>
      <c r="BQ84" s="492" t="s">
        <v>1155</v>
      </c>
      <c r="BR84" t="str">
        <f t="shared" si="120"/>
        <v>Audit trail can be reconstructed from audit logs</v>
      </c>
      <c r="BS84" t="str">
        <f>IF(AND(LEFT(BQ84,1)="#",IFERROR(LEN(_xlfn.TEXTBEFORE(BQ84," "))=4,0)),_xlfn.TEXTAFTER(BQ84," "),BS83)</f>
        <v>Guidance</v>
      </c>
      <c r="BT84" t="str">
        <f t="shared" si="149"/>
        <v>3.3.3.GY</v>
      </c>
      <c r="BU84" t="str">
        <f>IF(AND(BQ84&lt;&gt;"",LEFT(BQ84,1)&lt;&gt;"#"),IF(LEFT(BQ84,1)="-",REPLACE(BQ84,1,1,tech!$H$2),BQ84),"")</f>
        <v>Audit logging should be implemented to ensure that the audit trail can be reconstructed from audit logs any time. Audit logs are typically recorded for any user executed events that are important for security of the PKI implementation. Audit logs should be stored in a secure location. The audit logs should be protected against unauthorized access, modification, and deletion.</v>
      </c>
      <c r="BV84" t="s">
        <v>495</v>
      </c>
      <c r="BW84" s="492"/>
      <c r="BX84" t="str">
        <f t="shared" si="121"/>
        <v>Incidents and exceptions handling</v>
      </c>
      <c r="BY84" t="str">
        <f>IF(AND(LEFT(BW84,1)="#",IFERROR(LEN(_xlfn.TEXTBEFORE(BW84," "))=4,0)),_xlfn.TEXTAFTER(BW84," "),BY83)</f>
        <v>Guidance</v>
      </c>
      <c r="BZ84" t="str">
        <f t="shared" si="151"/>
        <v>3.4.3.GX</v>
      </c>
      <c r="CA84" t="str">
        <f>IF(AND(BW84&lt;&gt;"",LEFT(BW84,1)&lt;&gt;"#"),IF(LEFT(BW84,1)="-",REPLACE(BW84,1,1,tech!$H$2),BW84),"")</f>
        <v/>
      </c>
      <c r="CB84" t="s">
        <v>495</v>
      </c>
      <c r="CC84" s="492" t="s">
        <v>1270</v>
      </c>
      <c r="CD84" t="str">
        <f t="shared" si="122"/>
        <v>Resources are periodically reviewed</v>
      </c>
      <c r="CE84" t="str">
        <f>IF(AND(LEFT(CC84,1)="#",IFERROR(LEN(_xlfn.TEXTBEFORE(CC84," "))=4,0)),_xlfn.TEXTAFTER(CC84," "),CE83)</f>
        <v>Guidance</v>
      </c>
      <c r="CF84" t="str">
        <f t="shared" si="153"/>
        <v>4.1.4.GY</v>
      </c>
      <c r="CG84" t="str">
        <f>IF(AND(CC84&lt;&gt;"",LEFT(CC84,1)&lt;&gt;"#"),IF(LEFT(CC84,1)="-",REPLACE(CC84,1,1,tech!$H$2),CC84),"")</f>
        <v>Resource should be periodically reviewed to ensure the accurate use of the resources and secure operations. Frequency of the review depends on the complexity and criticality of the infrastructure. Good practice is to perform reviews at least once a year.</v>
      </c>
      <c r="CH84" t="s">
        <v>495</v>
      </c>
      <c r="CI84" s="492" t="s">
        <v>498</v>
      </c>
      <c r="CJ84" t="str">
        <f t="shared" si="123"/>
        <v>Perform security awareness training</v>
      </c>
      <c r="CK84" t="str">
        <f>IF(AND(LEFT(CI84,1)="#",IFERROR(LEN(_xlfn.TEXTBEFORE(CI84," "))=4,0)),_xlfn.TEXTAFTER(CI84," "),CK83)</f>
        <v>Guidance</v>
      </c>
      <c r="CL84" t="str">
        <f t="shared" si="155"/>
        <v>4.2.3.GX</v>
      </c>
      <c r="CM84" t="str">
        <f>IF(AND(CI84&lt;&gt;"",LEFT(CI84,1)&lt;&gt;"#"),IF(LEFT(CI84,1)="-",REPLACE(CI84,1,1,tech!$H$2),CI84),"")</f>
        <v/>
      </c>
      <c r="CN84" t="s">
        <v>495</v>
      </c>
      <c r="CO84" s="492" t="s">
        <v>1394</v>
      </c>
      <c r="CP84" t="str">
        <f t="shared" si="124"/>
        <v>Establish single point of contact</v>
      </c>
      <c r="CQ84" t="str">
        <f>IF(AND(LEFT(CO84,1)="#",IFERROR(LEN(_xlfn.TEXTBEFORE(CO84," "))=4,0)),_xlfn.TEXTAFTER(CO84," "),CQ83)</f>
        <v>Guidance</v>
      </c>
      <c r="CR84" t="str">
        <f t="shared" si="157"/>
        <v>4.3.3.GY</v>
      </c>
      <c r="CS84" t="str">
        <f>IF(AND(CO84&lt;&gt;"",LEFT(CO84,1)&lt;&gt;"#"),IF(LEFT(CO84,1)="-",REPLACE(CO84,1,1,tech!$H$2),CO84),"")</f>
        <v>• Email</v>
      </c>
      <c r="CT84" t="s">
        <v>495</v>
      </c>
    </row>
    <row r="85" spans="3:98" x14ac:dyDescent="0.25">
      <c r="C85" s="492" t="s">
        <v>448</v>
      </c>
      <c r="D85" t="str">
        <f t="shared" si="125"/>
        <v>Optimized</v>
      </c>
      <c r="E85" t="str">
        <f t="shared" si="126"/>
        <v>Associated risks</v>
      </c>
      <c r="F85" t="str">
        <f>_xlfn.CONCAT(VLOOKUP(D85,tech!$A$13:$B$17,2,0),LEFT(E85,1),IF(G85="","X","Y"))</f>
        <v>5AX</v>
      </c>
      <c r="G85" t="str">
        <f>IF(IF(LEFT(C85,1)="-",C85,"")="","",REPLACE(IF(LEFT(C85,1)="-",C85,""),1,1,tech!$H$2))</f>
        <v/>
      </c>
      <c r="H85" t="s">
        <v>495</v>
      </c>
      <c r="I85" s="492" t="s">
        <v>531</v>
      </c>
      <c r="J85" t="str">
        <f t="shared" si="127"/>
        <v>Architecture and design of the PKI</v>
      </c>
      <c r="K85" t="str">
        <f t="shared" ref="K85:K124" si="158">IF(AND(LEFT(I85,1)="#",IFERROR(LEN(_xlfn.TEXTBEFORE(I85," "))=4,0)),_xlfn.TEXTAFTER(I85," "),K84)</f>
        <v>Guidance</v>
      </c>
      <c r="L85" t="str">
        <f t="shared" si="129"/>
        <v>1.1.4.GY</v>
      </c>
      <c r="M85" t="str">
        <f>IF(AND(I85&lt;&gt;"",LEFT(I85,1)&lt;&gt;"#"),IF(LEFT(I85,1)="-",REPLACE(I85,1,1,tech!$H$2),I85),"")</f>
        <v>• Network infrastructure design</v>
      </c>
      <c r="N85" t="s">
        <v>495</v>
      </c>
      <c r="O85" s="492" t="s">
        <v>560</v>
      </c>
      <c r="P85" t="str">
        <f t="shared" si="111"/>
        <v>Certification practice statement is documented and published</v>
      </c>
      <c r="Q85" t="str">
        <f t="shared" ref="Q85:Q124" si="159">IF(AND(LEFT(O85,1)="#",IFERROR(LEN(_xlfn.TEXTBEFORE(O85," "))=4,0)),_xlfn.TEXTAFTER(O85," "),Q84)</f>
        <v>Guidance</v>
      </c>
      <c r="R85" t="str">
        <f t="shared" si="131"/>
        <v>1.2.3.GY</v>
      </c>
      <c r="S85" t="str">
        <f>IF(AND(O85&lt;&gt;"",LEFT(O85,1)&lt;&gt;"#"),IF(LEFT(O85,1)="-",REPLACE(O85,1,1,tech!$H$2),O85),"")</f>
        <v>In addition to a CP, there is typically a Certification Practice Statement (CPS). While a CP is more at a strategic level, detailed information about how things should be carried out is part of a CPS (tactical level). The CP and CPS can be combined into a single managed document, however they are typically split for most of the PKI implementations for better orientation.</v>
      </c>
      <c r="T85" t="s">
        <v>495</v>
      </c>
      <c r="U85" s="492" t="s">
        <v>638</v>
      </c>
      <c r="V85" t="str">
        <f t="shared" si="112"/>
        <v>List of relevant laws, regulations, and standards, exist and is maintained</v>
      </c>
      <c r="W85" t="str">
        <f t="shared" ref="W85:W124" si="160">IF(AND(LEFT(U85,1)="#",IFERROR(LEN(_xlfn.TEXTBEFORE(U85," "))=4,0)),_xlfn.TEXTAFTER(U85," "),W84)</f>
        <v>References</v>
      </c>
      <c r="X85" t="str">
        <f t="shared" si="133"/>
        <v>1.3.4.RX</v>
      </c>
      <c r="Y85" t="str">
        <f>IF(AND(U85&lt;&gt;"",LEFT(U85,1)&lt;&gt;"#"),IF(LEFT(U85,1)="-",REPLACE(U85,1,1,tech!$H$2),U85),"")</f>
        <v/>
      </c>
      <c r="Z85" t="s">
        <v>495</v>
      </c>
      <c r="AA85" s="492" t="s">
        <v>673</v>
      </c>
      <c r="AB85" t="str">
        <f t="shared" si="113"/>
        <v>Evidence from procedures is collected and maintained</v>
      </c>
      <c r="AC85" t="str">
        <f t="shared" ref="AC85:AC124" si="161">IF(AND(LEFT(AA85,1)="#",IFERROR(LEN(_xlfn.TEXTBEFORE(AA85," "))=4,0)),_xlfn.TEXTAFTER(AA85," "),AC84)</f>
        <v>References</v>
      </c>
      <c r="AD85" t="str">
        <f t="shared" si="135"/>
        <v>1.4.4.RX</v>
      </c>
      <c r="AE85" t="str">
        <f>IF(AND(AA85&lt;&gt;"",LEFT(AA85,1)&lt;&gt;"#"),IF(LEFT(AA85,1)="-",REPLACE(AA85,1,1,tech!$H$2),AA85),"")</f>
        <v/>
      </c>
      <c r="AF85" t="s">
        <v>495</v>
      </c>
      <c r="AG85" s="492"/>
      <c r="AH85" t="str">
        <f t="shared" si="114"/>
        <v>Inventory of cryptographic devices is documented and maintained</v>
      </c>
      <c r="AI85" t="str">
        <f t="shared" ref="AI85:AI124" si="162">IF(AND(LEFT(AG85,1)="#",IFERROR(LEN(_xlfn.TEXTBEFORE(AG85," "))=4,0)),_xlfn.TEXTAFTER(AG85," "),AI84)</f>
        <v>Assessment</v>
      </c>
      <c r="AJ85" t="str">
        <f t="shared" si="137"/>
        <v>2.1.3.AX</v>
      </c>
      <c r="AK85" t="str">
        <f>IF(AND(AG85&lt;&gt;"",LEFT(AG85,1)&lt;&gt;"#"),IF(LEFT(AG85,1)="-",REPLACE(AG85,1,1,tech!$H$2),AG85),"")</f>
        <v/>
      </c>
      <c r="AL85" t="s">
        <v>495</v>
      </c>
      <c r="AM85" s="492" t="s">
        <v>819</v>
      </c>
      <c r="AN85" t="str">
        <f t="shared" si="115"/>
        <v>Certificate lifecycle management is documented</v>
      </c>
      <c r="AO85" t="str">
        <f t="shared" ref="AO85:AO124" si="163">IF(AND(LEFT(AM85,1)="#",IFERROR(LEN(_xlfn.TEXTBEFORE(AM85," "))=4,0)),_xlfn.TEXTAFTER(AM85," "),AO84)</f>
        <v>Guidance</v>
      </c>
      <c r="AP85" t="str">
        <f t="shared" si="139"/>
        <v>2.2.3.GY</v>
      </c>
      <c r="AQ85" t="str">
        <f>IF(AND(AM85&lt;&gt;"",LEFT(AM85,1)&lt;&gt;"#"),IF(LEFT(AM85,1)="-",REPLACE(AM85,1,1,tech!$H$2),AM85),"")</f>
        <v>5. Certificate status dissemination</v>
      </c>
      <c r="AR85" t="s">
        <v>495</v>
      </c>
      <c r="AS85" s="492" t="s">
        <v>934</v>
      </c>
      <c r="AT85" t="str">
        <f t="shared" si="116"/>
        <v>Network vulnerability management is implemented and maintained</v>
      </c>
      <c r="AU85" t="str">
        <f t="shared" ref="AU85:AU124" si="164">IF(AND(LEFT(AS85,1)="#",IFERROR(LEN(_xlfn.TEXTBEFORE(AS85," "))=4,0)),_xlfn.TEXTAFTER(AS85," "),AU84)</f>
        <v>Guidance</v>
      </c>
      <c r="AV85" t="str">
        <f t="shared" si="141"/>
        <v>2.3.3.GY</v>
      </c>
      <c r="AW85" t="str">
        <f>IF(AND(AS85&lt;&gt;"",LEFT(AS85,1)&lt;&gt;"#"),IF(LEFT(AS85,1)="-",REPLACE(AS85,1,1,tech!$H$2),AS85),"")</f>
        <v>• Identification of vulnerabilities</v>
      </c>
      <c r="AX85" t="s">
        <v>495</v>
      </c>
      <c r="AY85" s="492"/>
      <c r="AZ85" t="str">
        <f t="shared" si="117"/>
        <v>The change management process is documented and implemented</v>
      </c>
      <c r="BA85" t="str">
        <f t="shared" ref="BA85:BA124" si="165">IF(AND(LEFT(AY85,1)="#",IFERROR(LEN(_xlfn.TEXTBEFORE(AY85," "))=4,0)),_xlfn.TEXTAFTER(AY85," "),BA84)</f>
        <v>Guidance</v>
      </c>
      <c r="BB85" t="str">
        <f t="shared" si="143"/>
        <v>2.4.3.GX</v>
      </c>
      <c r="BC85" t="str">
        <f>IF(AND(AY85&lt;&gt;"",LEFT(AY85,1)&lt;&gt;"#"),IF(LEFT(AY85,1)="-",REPLACE(AY85,1,1,tech!$H$2),AY85),"")</f>
        <v/>
      </c>
      <c r="BD85" t="s">
        <v>495</v>
      </c>
      <c r="BE85" s="492"/>
      <c r="BF85" t="str">
        <f t="shared" si="118"/>
        <v>Business continuity planning and disaster recovery</v>
      </c>
      <c r="BG85" t="str">
        <f t="shared" ref="BG85:BG124" si="166">IF(AND(LEFT(BE85,1)="#",IFERROR(LEN(_xlfn.TEXTBEFORE(BE85," "))=4,0)),_xlfn.TEXTAFTER(BE85," "),BG84)</f>
        <v>Guidance</v>
      </c>
      <c r="BH85" t="str">
        <f t="shared" si="145"/>
        <v>3.1.3.GX</v>
      </c>
      <c r="BI85" t="str">
        <f>IF(AND(BE85&lt;&gt;"",LEFT(BE85,1)&lt;&gt;"#"),IF(LEFT(BE85,1)="-",REPLACE(BE85,1,1,tech!$H$2),BE85),"")</f>
        <v/>
      </c>
      <c r="BJ85" t="s">
        <v>495</v>
      </c>
      <c r="BK85" s="492" t="s">
        <v>1133</v>
      </c>
      <c r="BL85" t="str">
        <f t="shared" si="119"/>
        <v>Adoption and application of open standards</v>
      </c>
      <c r="BM85" t="str">
        <f t="shared" ref="BM85:BM124" si="167">IF(AND(LEFT(BK85,1)="#",IFERROR(LEN(_xlfn.TEXTBEFORE(BK85," "))=4,0)),_xlfn.TEXTAFTER(BK85," "),BM84)</f>
        <v>Assessment</v>
      </c>
      <c r="BN85" t="str">
        <f t="shared" si="147"/>
        <v>3.2.3.AY</v>
      </c>
      <c r="BO85" t="str">
        <f>IF(AND(BK85&lt;&gt;"",LEFT(BK85,1)&lt;&gt;"#"),IF(LEFT(BK85,1)="-",REPLACE(BK85,1,1,tech!$H$2),BK85),"")</f>
        <v>• Interview with the responsible person to verify Understanding of the open standards</v>
      </c>
      <c r="BP85" t="s">
        <v>495</v>
      </c>
      <c r="BQ85" s="492"/>
      <c r="BR85" t="str">
        <f t="shared" si="120"/>
        <v>Audit trail can be reconstructed from audit logs</v>
      </c>
      <c r="BS85" t="str">
        <f t="shared" ref="BS85:BS124" si="168">IF(AND(LEFT(BQ85,1)="#",IFERROR(LEN(_xlfn.TEXTBEFORE(BQ85," "))=4,0)),_xlfn.TEXTAFTER(BQ85," "),BS84)</f>
        <v>Guidance</v>
      </c>
      <c r="BT85" t="str">
        <f t="shared" si="149"/>
        <v>3.3.3.GY</v>
      </c>
      <c r="BU85" t="str">
        <f>IF(AND(BQ85&lt;&gt;"",LEFT(BQ85,1)&lt;&gt;"#"),IF(LEFT(BQ85,1)="-",REPLACE(BQ85,1,1,tech!$H$2),BQ85),"")</f>
        <v/>
      </c>
      <c r="BV85" t="s">
        <v>495</v>
      </c>
      <c r="BW85" s="492" t="s">
        <v>501</v>
      </c>
      <c r="BX85" t="str">
        <f t="shared" si="121"/>
        <v>Incidents and exceptions handling</v>
      </c>
      <c r="BY85" t="str">
        <f t="shared" ref="BY85:BY124" si="169">IF(AND(LEFT(BW85,1)="#",IFERROR(LEN(_xlfn.TEXTBEFORE(BW85," "))=4,0)),_xlfn.TEXTAFTER(BW85," "),BY84)</f>
        <v>Assessment</v>
      </c>
      <c r="BZ85" t="str">
        <f t="shared" si="151"/>
        <v>3.4.3.AX</v>
      </c>
      <c r="CA85" t="str">
        <f>IF(AND(BW85&lt;&gt;"",LEFT(BW85,1)&lt;&gt;"#"),IF(LEFT(BW85,1)="-",REPLACE(BW85,1,1,tech!$H$2),BW85),"")</f>
        <v/>
      </c>
      <c r="CB85" t="s">
        <v>495</v>
      </c>
      <c r="CC85" s="492"/>
      <c r="CD85" t="str">
        <f t="shared" si="122"/>
        <v>Resources are periodically reviewed</v>
      </c>
      <c r="CE85" t="str">
        <f t="shared" ref="CE85:CE124" si="170">IF(AND(LEFT(CC85,1)="#",IFERROR(LEN(_xlfn.TEXTBEFORE(CC85," "))=4,0)),_xlfn.TEXTAFTER(CC85," "),CE84)</f>
        <v>Guidance</v>
      </c>
      <c r="CF85" t="str">
        <f t="shared" si="153"/>
        <v>4.1.4.GY</v>
      </c>
      <c r="CG85" t="str">
        <f>IF(AND(CC85&lt;&gt;"",LEFT(CC85,1)&lt;&gt;"#"),IF(LEFT(CC85,1)="-",REPLACE(CC85,1,1,tech!$H$2),CC85),"")</f>
        <v/>
      </c>
      <c r="CH85" t="s">
        <v>495</v>
      </c>
      <c r="CI85" s="492"/>
      <c r="CJ85" t="str">
        <f t="shared" si="123"/>
        <v>Perform security awareness training</v>
      </c>
      <c r="CK85" t="str">
        <f t="shared" ref="CK85:CK124" si="171">IF(AND(LEFT(CI85,1)="#",IFERROR(LEN(_xlfn.TEXTBEFORE(CI85," "))=4,0)),_xlfn.TEXTAFTER(CI85," "),CK84)</f>
        <v>Guidance</v>
      </c>
      <c r="CL85" t="str">
        <f t="shared" si="155"/>
        <v>4.2.3.GX</v>
      </c>
      <c r="CM85" t="str">
        <f>IF(AND(CI85&lt;&gt;"",LEFT(CI85,1)&lt;&gt;"#"),IF(LEFT(CI85,1)="-",REPLACE(CI85,1,1,tech!$H$2),CI85),"")</f>
        <v/>
      </c>
      <c r="CN85" t="s">
        <v>495</v>
      </c>
      <c r="CO85" s="492" t="s">
        <v>1395</v>
      </c>
      <c r="CP85" t="str">
        <f t="shared" si="124"/>
        <v>Establish single point of contact</v>
      </c>
      <c r="CQ85" t="str">
        <f t="shared" ref="CQ85:CQ124" si="172">IF(AND(LEFT(CO85,1)="#",IFERROR(LEN(_xlfn.TEXTBEFORE(CO85," "))=4,0)),_xlfn.TEXTAFTER(CO85," "),CQ84)</f>
        <v>Guidance</v>
      </c>
      <c r="CR85" t="str">
        <f t="shared" si="157"/>
        <v>4.3.3.GY</v>
      </c>
      <c r="CS85" t="str">
        <f>IF(AND(CO85&lt;&gt;"",LEFT(CO85,1)&lt;&gt;"#"),IF(LEFT(CO85,1)="-",REPLACE(CO85,1,1,tech!$H$2),CO85),"")</f>
        <v>• Phone</v>
      </c>
      <c r="CT85" t="s">
        <v>495</v>
      </c>
    </row>
    <row r="86" spans="3:98" x14ac:dyDescent="0.25">
      <c r="C86" s="492"/>
      <c r="D86" t="str">
        <f t="shared" si="125"/>
        <v>Optimized</v>
      </c>
      <c r="E86" t="str">
        <f t="shared" si="126"/>
        <v>Associated risks</v>
      </c>
      <c r="F86" t="str">
        <f>_xlfn.CONCAT(VLOOKUP(D86,tech!$A$13:$B$17,2,0),LEFT(E86,1),IF(G86="","X","Y"))</f>
        <v>5AX</v>
      </c>
      <c r="G86" t="str">
        <f>IF(IF(LEFT(C86,1)="-",C86,"")="","",REPLACE(IF(LEFT(C86,1)="-",C86,""),1,1,tech!$H$2))</f>
        <v/>
      </c>
      <c r="H86" t="s">
        <v>495</v>
      </c>
      <c r="I86" s="492" t="s">
        <v>532</v>
      </c>
      <c r="J86" t="str">
        <f t="shared" si="127"/>
        <v>Architecture and design of the PKI</v>
      </c>
      <c r="K86" t="str">
        <f t="shared" si="158"/>
        <v>Guidance</v>
      </c>
      <c r="L86" t="str">
        <f t="shared" si="129"/>
        <v>1.1.4.GY</v>
      </c>
      <c r="M86" t="str">
        <f>IF(AND(I86&lt;&gt;"",LEFT(I86,1)&lt;&gt;"#"),IF(LEFT(I86,1)="-",REPLACE(I86,1,1,tech!$H$2),I86),"")</f>
        <v>• Technology involved</v>
      </c>
      <c r="N86" t="s">
        <v>495</v>
      </c>
      <c r="O86" s="492"/>
      <c r="P86" t="str">
        <f t="shared" si="111"/>
        <v>Certification practice statement is documented and published</v>
      </c>
      <c r="Q86" t="str">
        <f t="shared" si="159"/>
        <v>Guidance</v>
      </c>
      <c r="R86" t="str">
        <f t="shared" si="131"/>
        <v>1.2.3.GY</v>
      </c>
      <c r="S86" t="str">
        <f>IF(AND(O86&lt;&gt;"",LEFT(O86,1)&lt;&gt;"#"),IF(LEFT(O86,1)="-",REPLACE(O86,1,1,tech!$H$2),O86),"")</f>
        <v/>
      </c>
      <c r="T86" t="s">
        <v>495</v>
      </c>
      <c r="U86" s="492"/>
      <c r="V86" t="str">
        <f t="shared" si="112"/>
        <v>List of relevant laws, regulations, and standards, exist and is maintained</v>
      </c>
      <c r="W86" t="str">
        <f t="shared" si="160"/>
        <v>References</v>
      </c>
      <c r="X86" t="str">
        <f t="shared" si="133"/>
        <v>1.3.4.RX</v>
      </c>
      <c r="Y86" t="str">
        <f>IF(AND(U86&lt;&gt;"",LEFT(U86,1)&lt;&gt;"#"),IF(LEFT(U86,1)="-",REPLACE(U86,1,1,tech!$H$2),U86),"")</f>
        <v/>
      </c>
      <c r="Z86" t="s">
        <v>495</v>
      </c>
      <c r="AA86" s="492"/>
      <c r="AB86" t="str">
        <f t="shared" si="113"/>
        <v>Evidence from procedures is collected and maintained</v>
      </c>
      <c r="AC86" t="str">
        <f t="shared" si="161"/>
        <v>References</v>
      </c>
      <c r="AD86" t="str">
        <f t="shared" si="135"/>
        <v>1.4.4.RX</v>
      </c>
      <c r="AE86" t="str">
        <f>IF(AND(AA86&lt;&gt;"",LEFT(AA86,1)&lt;&gt;"#"),IF(LEFT(AA86,1)="-",REPLACE(AA86,1,1,tech!$H$2),AA86),"")</f>
        <v/>
      </c>
      <c r="AF86" t="s">
        <v>495</v>
      </c>
      <c r="AG86" s="492" t="s">
        <v>753</v>
      </c>
      <c r="AH86" t="str">
        <f t="shared" si="114"/>
        <v>Inventory of cryptographic devices is documented and maintained</v>
      </c>
      <c r="AI86" t="str">
        <f t="shared" si="162"/>
        <v>Assessment</v>
      </c>
      <c r="AJ86" t="str">
        <f t="shared" si="137"/>
        <v>2.1.3.AY</v>
      </c>
      <c r="AK86" t="str">
        <f>IF(AND(AG86&lt;&gt;"",LEFT(AG86,1)&lt;&gt;"#"),IF(LEFT(AG86,1)="-",REPLACE(AG86,1,1,tech!$H$2),AG86),"")</f>
        <v>• Documented requirements for cryptographic devices</v>
      </c>
      <c r="AL86" t="s">
        <v>495</v>
      </c>
      <c r="AM86" s="492" t="s">
        <v>820</v>
      </c>
      <c r="AN86" t="str">
        <f t="shared" si="115"/>
        <v>Certificate lifecycle management is documented</v>
      </c>
      <c r="AO86" t="str">
        <f t="shared" si="163"/>
        <v>Guidance</v>
      </c>
      <c r="AP86" t="str">
        <f t="shared" si="139"/>
        <v>2.2.3.GY</v>
      </c>
      <c r="AQ86" t="str">
        <f>IF(AND(AM86&lt;&gt;"",LEFT(AM86,1)&lt;&gt;"#"),IF(LEFT(AM86,1)="-",REPLACE(AM86,1,1,tech!$H$2),AM86),"")</f>
        <v xml:space="preserve">   * How revocation information is disseminated to relying parties</v>
      </c>
      <c r="AR86" t="s">
        <v>495</v>
      </c>
      <c r="AS86" s="492" t="s">
        <v>935</v>
      </c>
      <c r="AT86" t="str">
        <f t="shared" si="116"/>
        <v>Network vulnerability management is implemented and maintained</v>
      </c>
      <c r="AU86" t="str">
        <f t="shared" si="164"/>
        <v>Guidance</v>
      </c>
      <c r="AV86" t="str">
        <f t="shared" si="141"/>
        <v>2.3.3.GY</v>
      </c>
      <c r="AW86" t="str">
        <f>IF(AND(AS86&lt;&gt;"",LEFT(AS86,1)&lt;&gt;"#"),IF(LEFT(AS86,1)="-",REPLACE(AS86,1,1,tech!$H$2),AS86),"")</f>
        <v>• Categorization and prioritization of vulnerabilities and remediation</v>
      </c>
      <c r="AX86" t="s">
        <v>495</v>
      </c>
      <c r="AY86" s="492" t="s">
        <v>972</v>
      </c>
      <c r="AZ86" t="str">
        <f t="shared" si="117"/>
        <v>The change management process is documented and implemented</v>
      </c>
      <c r="BA86" t="str">
        <f t="shared" si="165"/>
        <v>Guidance</v>
      </c>
      <c r="BB86" t="str">
        <f t="shared" si="143"/>
        <v>2.4.3.GY</v>
      </c>
      <c r="BC86" t="str">
        <f>IF(AND(AY86&lt;&gt;"",LEFT(AY86,1)&lt;&gt;"#"),IF(LEFT(AY86,1)="-",REPLACE(AY86,1,1,tech!$H$2),AY86),"")</f>
        <v>The change management process is the core of the change management and agile systems. It provides a robust and reliable process to ensure that every change is properly assessed, approved, implemented, and eventually reviewed.</v>
      </c>
      <c r="BD86" t="s">
        <v>495</v>
      </c>
      <c r="BE86" s="492" t="s">
        <v>501</v>
      </c>
      <c r="BF86" t="str">
        <f t="shared" si="118"/>
        <v>Business continuity planning and disaster recovery</v>
      </c>
      <c r="BG86" t="str">
        <f t="shared" si="166"/>
        <v>Assessment</v>
      </c>
      <c r="BH86" t="str">
        <f t="shared" si="145"/>
        <v>3.1.3.AX</v>
      </c>
      <c r="BI86" t="str">
        <f>IF(AND(BE86&lt;&gt;"",LEFT(BE86,1)&lt;&gt;"#"),IF(LEFT(BE86,1)="-",REPLACE(BE86,1,1,tech!$H$2),BE86),"")</f>
        <v/>
      </c>
      <c r="BJ86" t="s">
        <v>495</v>
      </c>
      <c r="BK86" s="492" t="s">
        <v>1134</v>
      </c>
      <c r="BL86" t="str">
        <f t="shared" si="119"/>
        <v>Adoption and application of open standards</v>
      </c>
      <c r="BM86" t="str">
        <f t="shared" si="167"/>
        <v>Assessment</v>
      </c>
      <c r="BN86" t="str">
        <f t="shared" si="147"/>
        <v>3.2.3.AY</v>
      </c>
      <c r="BO86" t="str">
        <f>IF(AND(BK86&lt;&gt;"",LEFT(BK86,1)&lt;&gt;"#"),IF(LEFT(BK86,1)="-",REPLACE(BK86,1,1,tech!$H$2),BK86),"")</f>
        <v>• Review of Training materials</v>
      </c>
      <c r="BP86" t="s">
        <v>495</v>
      </c>
      <c r="BQ86" s="492" t="s">
        <v>1156</v>
      </c>
      <c r="BR86" t="str">
        <f t="shared" si="120"/>
        <v>Audit trail can be reconstructed from audit logs</v>
      </c>
      <c r="BS86" t="str">
        <f t="shared" si="168"/>
        <v>Guidance</v>
      </c>
      <c r="BT86" t="str">
        <f t="shared" si="149"/>
        <v>3.3.3.GY</v>
      </c>
      <c r="BU86" t="str">
        <f>IF(AND(BQ86&lt;&gt;"",LEFT(BQ86,1)&lt;&gt;"#"),IF(LEFT(BQ86,1)="-",REPLACE(BQ86,1,1,tech!$H$2),BQ86),"")</f>
        <v>Typically, the following events are important for security of the PKI implementation:</v>
      </c>
      <c r="BV86" t="s">
        <v>495</v>
      </c>
      <c r="BW86" s="492"/>
      <c r="BX86" t="str">
        <f t="shared" si="121"/>
        <v>Incidents and exceptions handling</v>
      </c>
      <c r="BY86" t="str">
        <f t="shared" si="169"/>
        <v>Assessment</v>
      </c>
      <c r="BZ86" t="str">
        <f t="shared" si="151"/>
        <v>3.4.3.AX</v>
      </c>
      <c r="CA86" t="str">
        <f>IF(AND(BW86&lt;&gt;"",LEFT(BW86,1)&lt;&gt;"#"),IF(LEFT(BW86,1)="-",REPLACE(BW86,1,1,tech!$H$2),BW86),"")</f>
        <v/>
      </c>
      <c r="CB86" t="s">
        <v>495</v>
      </c>
      <c r="CC86" s="492" t="s">
        <v>1271</v>
      </c>
      <c r="CD86" t="str">
        <f t="shared" si="122"/>
        <v>Resources are periodically reviewed</v>
      </c>
      <c r="CE86" t="str">
        <f t="shared" si="170"/>
        <v>Guidance</v>
      </c>
      <c r="CF86" t="str">
        <f t="shared" si="153"/>
        <v>4.1.4.GY</v>
      </c>
      <c r="CG86" t="str">
        <f>IF(AND(CC86&lt;&gt;"",LEFT(CC86,1)&lt;&gt;"#"),IF(LEFT(CC86,1)="-",REPLACE(CC86,1,1,tech!$H$2),CC86),"")</f>
        <v>Review includes the following (but not limited to)</v>
      </c>
      <c r="CH86" t="s">
        <v>495</v>
      </c>
      <c r="CI86" s="492" t="s">
        <v>1304</v>
      </c>
      <c r="CJ86" t="str">
        <f t="shared" si="123"/>
        <v>Perform security awareness training</v>
      </c>
      <c r="CK86" t="str">
        <f t="shared" si="171"/>
        <v>Guidance</v>
      </c>
      <c r="CL86" t="str">
        <f t="shared" si="155"/>
        <v>4.2.3.GY</v>
      </c>
      <c r="CM86" t="str">
        <f>IF(AND(CI86&lt;&gt;"",LEFT(CI86,1)&lt;&gt;"#"),IF(LEFT(CI86,1)="-",REPLACE(CI86,1,1,tech!$H$2),CI86),"")</f>
        <v>Security awareness education is an ongoing activity. The security awareness program is implemented to make all personnel aware of their role in protecting the security and establishing trust by the PKI implementation. It should stay up to date to reflect latest security trends, threats, and challenges.</v>
      </c>
      <c r="CN86" t="s">
        <v>495</v>
      </c>
      <c r="CO86" s="492" t="s">
        <v>1396</v>
      </c>
      <c r="CP86" t="str">
        <f t="shared" si="124"/>
        <v>Establish single point of contact</v>
      </c>
      <c r="CQ86" t="str">
        <f t="shared" si="172"/>
        <v>Guidance</v>
      </c>
      <c r="CR86" t="str">
        <f t="shared" si="157"/>
        <v>4.3.3.GY</v>
      </c>
      <c r="CS86" t="str">
        <f>IF(AND(CO86&lt;&gt;"",LEFT(CO86,1)&lt;&gt;"#"),IF(LEFT(CO86,1)="-",REPLACE(CO86,1,1,tech!$H$2),CO86),"")</f>
        <v>• Web site form</v>
      </c>
      <c r="CT86" t="s">
        <v>495</v>
      </c>
    </row>
    <row r="87" spans="3:98" x14ac:dyDescent="0.25">
      <c r="C87" s="492" t="s">
        <v>482</v>
      </c>
      <c r="D87" t="str">
        <f t="shared" si="125"/>
        <v>Optimized</v>
      </c>
      <c r="E87" t="str">
        <f t="shared" si="126"/>
        <v>Associated risks</v>
      </c>
      <c r="F87" t="str">
        <f>_xlfn.CONCAT(VLOOKUP(D87,tech!$A$13:$B$17,2,0),LEFT(E87,1),IF(G87="","X","Y"))</f>
        <v>5AY</v>
      </c>
      <c r="G87" t="str">
        <f>IF(IF(LEFT(C87,1)="-",C87,"")="","",REPLACE(IF(LEFT(C87,1)="-",C87,""),1,1,tech!$H$2))</f>
        <v>• Minimal probability of operational issues</v>
      </c>
      <c r="H87" t="s">
        <v>495</v>
      </c>
      <c r="I87" s="492" t="s">
        <v>533</v>
      </c>
      <c r="J87" t="str">
        <f t="shared" si="127"/>
        <v>Architecture and design of the PKI</v>
      </c>
      <c r="K87" t="str">
        <f t="shared" si="158"/>
        <v>Guidance</v>
      </c>
      <c r="L87" t="str">
        <f t="shared" si="129"/>
        <v>1.1.4.GY</v>
      </c>
      <c r="M87" t="str">
        <f>IF(AND(I87&lt;&gt;"",LEFT(I87,1)&lt;&gt;"#"),IF(LEFT(I87,1)="-",REPLACE(I87,1,1,tech!$H$2),I87),"")</f>
        <v>• Integration requirements and interfaces (APIs)</v>
      </c>
      <c r="N87" t="s">
        <v>495</v>
      </c>
      <c r="O87" s="492" t="s">
        <v>561</v>
      </c>
      <c r="P87" t="str">
        <f t="shared" si="111"/>
        <v>Certification practice statement is documented and published</v>
      </c>
      <c r="Q87" t="str">
        <f t="shared" si="159"/>
        <v>Guidance</v>
      </c>
      <c r="R87" t="str">
        <f t="shared" si="131"/>
        <v>1.2.3.GY</v>
      </c>
      <c r="S87" t="str">
        <f>IF(AND(O87&lt;&gt;"",LEFT(O87,1)&lt;&gt;"#"),IF(LEFT(O87,1)="-",REPLACE(O87,1,1,tech!$H$2),O87),"")</f>
        <v>The CPS covers the same items as the CP, but includes technical detail of how the CP is implemented. All parties involved in the PKI should be aware of the CPS and follow it. The CPS is a living document that is continuously updated and changed as technologies, security, and compliance requirements change.</v>
      </c>
      <c r="T87" t="s">
        <v>495</v>
      </c>
      <c r="U87" s="492" t="s">
        <v>498</v>
      </c>
      <c r="V87" t="str">
        <f t="shared" si="112"/>
        <v>List of relevant laws, regulations, and standards, exist and is maintained</v>
      </c>
      <c r="W87" t="str">
        <f t="shared" si="160"/>
        <v>Guidance</v>
      </c>
      <c r="X87" t="str">
        <f t="shared" si="133"/>
        <v>1.3.4.GX</v>
      </c>
      <c r="Y87" t="str">
        <f>IF(AND(U87&lt;&gt;"",LEFT(U87,1)&lt;&gt;"#"),IF(LEFT(U87,1)="-",REPLACE(U87,1,1,tech!$H$2),U87),"")</f>
        <v/>
      </c>
      <c r="Z87" t="s">
        <v>495</v>
      </c>
      <c r="AA87" s="492" t="s">
        <v>498</v>
      </c>
      <c r="AB87" t="str">
        <f t="shared" si="113"/>
        <v>Evidence from procedures is collected and maintained</v>
      </c>
      <c r="AC87" t="str">
        <f t="shared" si="161"/>
        <v>Guidance</v>
      </c>
      <c r="AD87" t="str">
        <f t="shared" si="135"/>
        <v>1.4.4.GX</v>
      </c>
      <c r="AE87" t="str">
        <f>IF(AND(AA87&lt;&gt;"",LEFT(AA87,1)&lt;&gt;"#"),IF(LEFT(AA87,1)="-",REPLACE(AA87,1,1,tech!$H$2),AA87),"")</f>
        <v/>
      </c>
      <c r="AF87" t="s">
        <v>495</v>
      </c>
      <c r="AG87" s="492" t="s">
        <v>754</v>
      </c>
      <c r="AH87" t="str">
        <f t="shared" si="114"/>
        <v>Inventory of cryptographic devices is documented and maintained</v>
      </c>
      <c r="AI87" t="str">
        <f t="shared" si="162"/>
        <v>Assessment</v>
      </c>
      <c r="AJ87" t="str">
        <f t="shared" si="137"/>
        <v>2.1.3.AY</v>
      </c>
      <c r="AK87" t="str">
        <f>IF(AND(AG87&lt;&gt;"",LEFT(AG87,1)&lt;&gt;"#"),IF(LEFT(AG87,1)="-",REPLACE(AG87,1,1,tech!$H$2),AG87),"")</f>
        <v>• Documented inventory of cryptographic devices</v>
      </c>
      <c r="AL87" t="s">
        <v>495</v>
      </c>
      <c r="AM87" s="492" t="s">
        <v>821</v>
      </c>
      <c r="AN87" t="str">
        <f t="shared" si="115"/>
        <v>Certificate lifecycle management is documented</v>
      </c>
      <c r="AO87" t="str">
        <f t="shared" si="163"/>
        <v>Guidance</v>
      </c>
      <c r="AP87" t="str">
        <f t="shared" si="139"/>
        <v>2.2.3.GY</v>
      </c>
      <c r="AQ87" t="str">
        <f>IF(AND(AM87&lt;&gt;"",LEFT(AM87,1)&lt;&gt;"#"),IF(LEFT(AM87,1)="-",REPLACE(AM87,1,1,tech!$H$2),AM87),"")</f>
        <v>6. Key escrow and recovery</v>
      </c>
      <c r="AR87" t="s">
        <v>495</v>
      </c>
      <c r="AS87" s="492" t="s">
        <v>936</v>
      </c>
      <c r="AT87" t="str">
        <f t="shared" si="116"/>
        <v>Network vulnerability management is implemented and maintained</v>
      </c>
      <c r="AU87" t="str">
        <f t="shared" si="164"/>
        <v>Guidance</v>
      </c>
      <c r="AV87" t="str">
        <f t="shared" si="141"/>
        <v>2.3.3.GY</v>
      </c>
      <c r="AW87" t="str">
        <f>IF(AND(AS87&lt;&gt;"",LEFT(AS87,1)&lt;&gt;"#"),IF(LEFT(AS87,1)="-",REPLACE(AS87,1,1,tech!$H$2),AS87),"")</f>
        <v>• Updating and patching requirements</v>
      </c>
      <c r="AX87" t="s">
        <v>495</v>
      </c>
      <c r="AY87" s="492"/>
      <c r="AZ87" t="str">
        <f t="shared" si="117"/>
        <v>The change management process is documented and implemented</v>
      </c>
      <c r="BA87" t="str">
        <f t="shared" si="165"/>
        <v>Guidance</v>
      </c>
      <c r="BB87" t="str">
        <f t="shared" si="143"/>
        <v>2.4.3.GY</v>
      </c>
      <c r="BC87" t="str">
        <f>IF(AND(AY87&lt;&gt;"",LEFT(AY87,1)&lt;&gt;"#"),IF(LEFT(AY87,1)="-",REPLACE(AY87,1,1,tech!$H$2),AY87),"")</f>
        <v/>
      </c>
      <c r="BD87" t="s">
        <v>495</v>
      </c>
      <c r="BE87" s="492"/>
      <c r="BF87" t="str">
        <f t="shared" si="118"/>
        <v>Business continuity planning and disaster recovery</v>
      </c>
      <c r="BG87" t="str">
        <f t="shared" si="166"/>
        <v>Assessment</v>
      </c>
      <c r="BH87" t="str">
        <f t="shared" si="145"/>
        <v>3.1.3.AX</v>
      </c>
      <c r="BI87" t="str">
        <f>IF(AND(BE87&lt;&gt;"",LEFT(BE87,1)&lt;&gt;"#"),IF(LEFT(BE87,1)="-",REPLACE(BE87,1,1,tech!$H$2),BE87),"")</f>
        <v/>
      </c>
      <c r="BJ87" t="s">
        <v>495</v>
      </c>
      <c r="BK87" s="492"/>
      <c r="BL87" t="str">
        <f t="shared" si="119"/>
        <v>Adoption and application of open standards</v>
      </c>
      <c r="BM87" t="str">
        <f t="shared" si="167"/>
        <v>Assessment</v>
      </c>
      <c r="BN87" t="str">
        <f t="shared" si="147"/>
        <v>3.2.3.AX</v>
      </c>
      <c r="BO87" t="str">
        <f>IF(AND(BK87&lt;&gt;"",LEFT(BK87,1)&lt;&gt;"#"),IF(LEFT(BK87,1)="-",REPLACE(BK87,1,1,tech!$H$2),BK87),"")</f>
        <v/>
      </c>
      <c r="BP87" t="s">
        <v>495</v>
      </c>
      <c r="BQ87" s="492" t="s">
        <v>1192</v>
      </c>
      <c r="BR87" t="str">
        <f t="shared" si="120"/>
        <v>Audit trail can be reconstructed from audit logs</v>
      </c>
      <c r="BS87" t="str">
        <f t="shared" si="168"/>
        <v>Guidance</v>
      </c>
      <c r="BT87" t="str">
        <f t="shared" si="149"/>
        <v>3.3.3.GY</v>
      </c>
      <c r="BU87" t="str">
        <f>IF(AND(BQ87&lt;&gt;"",LEFT(BQ87,1)&lt;&gt;"#"),IF(LEFT(BQ87,1)="-",REPLACE(BQ87,1,1,tech!$H$2),BQ87),"")</f>
        <v>• all individual User accesses to sensitive data</v>
      </c>
      <c r="BV87" t="s">
        <v>495</v>
      </c>
      <c r="BW87" s="492" t="s">
        <v>502</v>
      </c>
      <c r="BX87" t="str">
        <f t="shared" si="121"/>
        <v>Incidents and exceptions handling</v>
      </c>
      <c r="BY87" t="str">
        <f t="shared" si="169"/>
        <v>Assessment</v>
      </c>
      <c r="BZ87" t="str">
        <f t="shared" si="151"/>
        <v>3.4.3.AY</v>
      </c>
      <c r="CA87" t="str">
        <f>IF(AND(BW87&lt;&gt;"",LEFT(BW87,1)&lt;&gt;"#"),IF(LEFT(BW87,1)="-",REPLACE(BW87,1,1,tech!$H$2),BW87),"")</f>
        <v>The following is sample evidence that can be used to assess the requirement:</v>
      </c>
      <c r="CB87" t="s">
        <v>495</v>
      </c>
      <c r="CC87" s="492" t="s">
        <v>1468</v>
      </c>
      <c r="CD87" t="str">
        <f t="shared" si="122"/>
        <v>Resources are periodically reviewed</v>
      </c>
      <c r="CE87" t="str">
        <f t="shared" si="170"/>
        <v>Guidance</v>
      </c>
      <c r="CF87" t="str">
        <f t="shared" si="153"/>
        <v>4.1.4.GY</v>
      </c>
      <c r="CG87" t="str">
        <f>IF(AND(CC87&lt;&gt;"",LEFT(CC87,1)&lt;&gt;"#"),IF(LEFT(CC87,1)="-",REPLACE(CC87,1,1,tech!$H$2),CC87),"")</f>
        <v>• Analysis that the resources continue to match with the scope and capacity required to provide the services</v>
      </c>
      <c r="CH87" t="s">
        <v>495</v>
      </c>
      <c r="CI87" s="492"/>
      <c r="CJ87" t="str">
        <f t="shared" si="123"/>
        <v>Perform security awareness training</v>
      </c>
      <c r="CK87" t="str">
        <f t="shared" si="171"/>
        <v>Guidance</v>
      </c>
      <c r="CL87" t="str">
        <f t="shared" si="155"/>
        <v>4.2.3.GY</v>
      </c>
      <c r="CM87" t="str">
        <f>IF(AND(CI87&lt;&gt;"",LEFT(CI87,1)&lt;&gt;"#"),IF(LEFT(CI87,1)="-",REPLACE(CI87,1,1,tech!$H$2),CI87),"")</f>
        <v/>
      </c>
      <c r="CN87" t="s">
        <v>495</v>
      </c>
      <c r="CO87" s="492" t="s">
        <v>1485</v>
      </c>
      <c r="CP87" t="str">
        <f t="shared" si="124"/>
        <v>Establish single point of contact</v>
      </c>
      <c r="CQ87" t="str">
        <f t="shared" si="172"/>
        <v>Guidance</v>
      </c>
      <c r="CR87" t="str">
        <f t="shared" si="157"/>
        <v>4.3.3.GY</v>
      </c>
      <c r="CS87" t="str">
        <f>IF(AND(CO87&lt;&gt;"",LEFT(CO87,1)&lt;&gt;"#"),IF(LEFT(CO87,1)="-",REPLACE(CO87,1,1,tech!$H$2),CO87),"")</f>
        <v>• Other</v>
      </c>
      <c r="CT87" t="s">
        <v>495</v>
      </c>
    </row>
    <row r="88" spans="3:98" x14ac:dyDescent="0.25">
      <c r="C88" s="492" t="s">
        <v>483</v>
      </c>
      <c r="D88" t="str">
        <f t="shared" si="125"/>
        <v>Optimized</v>
      </c>
      <c r="E88" t="str">
        <f t="shared" si="126"/>
        <v>Associated risks</v>
      </c>
      <c r="F88" t="str">
        <f>_xlfn.CONCAT(VLOOKUP(D88,tech!$A$13:$B$17,2,0),LEFT(E88,1),IF(G88="","X","Y"))</f>
        <v>5AY</v>
      </c>
      <c r="G88" t="str">
        <f>IF(IF(LEFT(C88,1)="-",C88,"")="","",REPLACE(IF(LEFT(C88,1)="-",C88,""),1,1,tech!$H$2))</f>
        <v>• Minimal probability of compromise and loosing trust</v>
      </c>
      <c r="H88" t="s">
        <v>495</v>
      </c>
      <c r="I88" s="492" t="s">
        <v>517</v>
      </c>
      <c r="J88" t="str">
        <f t="shared" si="127"/>
        <v>Architecture and design of the PKI</v>
      </c>
      <c r="K88" t="str">
        <f t="shared" si="158"/>
        <v>Guidance</v>
      </c>
      <c r="L88" t="str">
        <f t="shared" si="129"/>
        <v>1.1.4.GY</v>
      </c>
      <c r="M88" t="str">
        <f>IF(AND(I88&lt;&gt;"",LEFT(I88,1)&lt;&gt;"#"),IF(LEFT(I88,1)="-",REPLACE(I88,1,1,tech!$H$2),I88),"")</f>
        <v>• Support systems (such as IAM, logging, monitoring, etc.)</v>
      </c>
      <c r="N88" t="s">
        <v>495</v>
      </c>
      <c r="O88" s="492"/>
      <c r="P88" t="str">
        <f t="shared" si="111"/>
        <v>Certification practice statement is documented and published</v>
      </c>
      <c r="Q88" t="str">
        <f t="shared" si="159"/>
        <v>Guidance</v>
      </c>
      <c r="R88" t="str">
        <f t="shared" si="131"/>
        <v>1.2.3.GX</v>
      </c>
      <c r="S88" t="str">
        <f>IF(AND(O88&lt;&gt;"",LEFT(O88,1)&lt;&gt;"#"),IF(LEFT(O88,1)="-",REPLACE(O88,1,1,tech!$H$2),O88),"")</f>
        <v/>
      </c>
      <c r="T88" t="s">
        <v>495</v>
      </c>
      <c r="U88" s="492"/>
      <c r="V88" t="str">
        <f t="shared" si="112"/>
        <v>List of relevant laws, regulations, and standards, exist and is maintained</v>
      </c>
      <c r="W88" t="str">
        <f t="shared" si="160"/>
        <v>Guidance</v>
      </c>
      <c r="X88" t="str">
        <f t="shared" si="133"/>
        <v>1.3.4.GX</v>
      </c>
      <c r="Y88" t="str">
        <f>IF(AND(U88&lt;&gt;"",LEFT(U88,1)&lt;&gt;"#"),IF(LEFT(U88,1)="-",REPLACE(U88,1,1,tech!$H$2),U88),"")</f>
        <v/>
      </c>
      <c r="Z88" t="s">
        <v>495</v>
      </c>
      <c r="AA88" s="492"/>
      <c r="AB88" t="str">
        <f t="shared" si="113"/>
        <v>Evidence from procedures is collected and maintained</v>
      </c>
      <c r="AC88" t="str">
        <f t="shared" si="161"/>
        <v>Guidance</v>
      </c>
      <c r="AD88" t="str">
        <f t="shared" si="135"/>
        <v>1.4.4.GX</v>
      </c>
      <c r="AE88" t="str">
        <f>IF(AND(AA88&lt;&gt;"",LEFT(AA88,1)&lt;&gt;"#"),IF(LEFT(AA88,1)="-",REPLACE(AA88,1,1,tech!$H$2),AA88),"")</f>
        <v/>
      </c>
      <c r="AF88" t="s">
        <v>495</v>
      </c>
      <c r="AG88" s="492" t="s">
        <v>720</v>
      </c>
      <c r="AH88" t="str">
        <f t="shared" si="114"/>
        <v>Inventory of cryptographic devices is documented and maintained</v>
      </c>
      <c r="AI88" t="str">
        <f t="shared" si="162"/>
        <v>Assessment</v>
      </c>
      <c r="AJ88" t="str">
        <f t="shared" si="137"/>
        <v>2.1.3.AY</v>
      </c>
      <c r="AK88" t="str">
        <f>IF(AND(AG88&lt;&gt;"",LEFT(AG88,1)&lt;&gt;"#"),IF(LEFT(AG88,1)="-",REPLACE(AG88,1,1,tech!$H$2),AG88),"")</f>
        <v>• Completeness, accuracy, and consistency of inventory</v>
      </c>
      <c r="AL88" t="s">
        <v>495</v>
      </c>
      <c r="AM88" s="492" t="s">
        <v>822</v>
      </c>
      <c r="AN88" t="str">
        <f t="shared" si="115"/>
        <v>Certificate lifecycle management is documented</v>
      </c>
      <c r="AO88" t="str">
        <f t="shared" si="163"/>
        <v>Guidance</v>
      </c>
      <c r="AP88" t="str">
        <f t="shared" si="139"/>
        <v>2.2.3.GY</v>
      </c>
      <c r="AQ88" t="str">
        <f>IF(AND(AM88&lt;&gt;"",LEFT(AM88,1)&lt;&gt;"#"),IF(LEFT(AM88,1)="-",REPLACE(AM88,1,1,tech!$H$2),AM88),"")</f>
        <v>7. Trust anchor management</v>
      </c>
      <c r="AR88" t="s">
        <v>495</v>
      </c>
      <c r="AS88" s="492"/>
      <c r="AT88" t="str">
        <f t="shared" si="116"/>
        <v>Network vulnerability management is implemented and maintained</v>
      </c>
      <c r="AU88" t="str">
        <f t="shared" si="164"/>
        <v>Guidance</v>
      </c>
      <c r="AV88" t="str">
        <f t="shared" si="141"/>
        <v>2.3.3.GX</v>
      </c>
      <c r="AW88" t="str">
        <f>IF(AND(AS88&lt;&gt;"",LEFT(AS88,1)&lt;&gt;"#"),IF(LEFT(AS88,1)="-",REPLACE(AS88,1,1,tech!$H$2),AS88),"")</f>
        <v/>
      </c>
      <c r="AX88" t="s">
        <v>495</v>
      </c>
      <c r="AY88" s="492" t="s">
        <v>973</v>
      </c>
      <c r="AZ88" t="str">
        <f t="shared" si="117"/>
        <v>The change management process is documented and implemented</v>
      </c>
      <c r="BA88" t="str">
        <f t="shared" si="165"/>
        <v>Guidance</v>
      </c>
      <c r="BB88" t="str">
        <f t="shared" si="143"/>
        <v>2.4.3.GY</v>
      </c>
      <c r="BC88" t="str">
        <f>IF(AND(AY88&lt;&gt;"",LEFT(AY88,1)&lt;&gt;"#"),IF(LEFT(AY88,1)="-",REPLACE(AY88,1,1,tech!$H$2),AY88),"")</f>
        <v>The change management process should be documented, communicated, and integrated into the organization. The process states how a request for change can be submitted and how it is processed, which includes assessment and approval of the change, implementation of the change, functional testing after the change, and review of the change.</v>
      </c>
      <c r="BD88" t="s">
        <v>495</v>
      </c>
      <c r="BE88" s="492" t="s">
        <v>502</v>
      </c>
      <c r="BF88" t="str">
        <f t="shared" si="118"/>
        <v>Business continuity planning and disaster recovery</v>
      </c>
      <c r="BG88" t="str">
        <f t="shared" si="166"/>
        <v>Assessment</v>
      </c>
      <c r="BH88" t="str">
        <f t="shared" si="145"/>
        <v>3.1.3.AY</v>
      </c>
      <c r="BI88" t="str">
        <f>IF(AND(BE88&lt;&gt;"",LEFT(BE88,1)&lt;&gt;"#"),IF(LEFT(BE88,1)="-",REPLACE(BE88,1,1,tech!$H$2),BE88),"")</f>
        <v>The following is sample evidence that can be used to assess the requirement:</v>
      </c>
      <c r="BJ88" t="s">
        <v>495</v>
      </c>
      <c r="BK88" s="492" t="s">
        <v>503</v>
      </c>
      <c r="BL88" t="str">
        <f t="shared" si="119"/>
        <v>Adoption and application of open standards</v>
      </c>
      <c r="BM88" t="str">
        <f t="shared" si="167"/>
        <v>References</v>
      </c>
      <c r="BN88" t="str">
        <f t="shared" si="147"/>
        <v>3.2.3.RX</v>
      </c>
      <c r="BO88" t="str">
        <f>IF(AND(BK88&lt;&gt;"",LEFT(BK88,1)&lt;&gt;"#"),IF(LEFT(BK88,1)="-",REPLACE(BK88,1,1,tech!$H$2),BK88),"")</f>
        <v/>
      </c>
      <c r="BP88" t="s">
        <v>495</v>
      </c>
      <c r="BQ88" s="492" t="s">
        <v>1193</v>
      </c>
      <c r="BR88" t="str">
        <f t="shared" si="120"/>
        <v>Audit trail can be reconstructed from audit logs</v>
      </c>
      <c r="BS88" t="str">
        <f t="shared" si="168"/>
        <v>Guidance</v>
      </c>
      <c r="BT88" t="str">
        <f t="shared" si="149"/>
        <v>3.3.3.GY</v>
      </c>
      <c r="BU88" t="str">
        <f>IF(AND(BQ88&lt;&gt;"",LEFT(BQ88,1)&lt;&gt;"#"),IF(LEFT(BQ88,1)="-",REPLACE(BQ88,1,1,tech!$H$2),BQ88),"")</f>
        <v>• all actions taken by any individual with root or administrative privileges</v>
      </c>
      <c r="BV88" t="s">
        <v>495</v>
      </c>
      <c r="BW88" s="492" t="s">
        <v>1248</v>
      </c>
      <c r="BX88" t="str">
        <f t="shared" si="121"/>
        <v>Incidents and exceptions handling</v>
      </c>
      <c r="BY88" t="str">
        <f t="shared" si="169"/>
        <v>Assessment</v>
      </c>
      <c r="BZ88" t="str">
        <f t="shared" si="151"/>
        <v>3.4.3.AY</v>
      </c>
      <c r="CA88" t="str">
        <f>IF(AND(BW88&lt;&gt;"",LEFT(BW88,1)&lt;&gt;"#"),IF(LEFT(BW88,1)="-",REPLACE(BW88,1,1,tech!$H$2),BW88),"")</f>
        <v>• Documented Exceptions</v>
      </c>
      <c r="CB88" t="s">
        <v>495</v>
      </c>
      <c r="CC88" s="492" t="s">
        <v>1280</v>
      </c>
      <c r="CD88" t="str">
        <f t="shared" si="122"/>
        <v>Resources are periodically reviewed</v>
      </c>
      <c r="CE88" t="str">
        <f t="shared" si="170"/>
        <v>Guidance</v>
      </c>
      <c r="CF88" t="str">
        <f t="shared" si="153"/>
        <v>4.1.4.GY</v>
      </c>
      <c r="CG88" t="str">
        <f>IF(AND(CC88&lt;&gt;"",LEFT(CC88,1)&lt;&gt;"#"),IF(LEFT(CC88,1)="-",REPLACE(CC88,1,1,tech!$H$2),CC88),"")</f>
        <v>• Review of the specifications of the resources to continue support of the PKI</v>
      </c>
      <c r="CH88" t="s">
        <v>495</v>
      </c>
      <c r="CI88" s="492" t="s">
        <v>1305</v>
      </c>
      <c r="CJ88" t="str">
        <f t="shared" si="123"/>
        <v>Perform security awareness training</v>
      </c>
      <c r="CK88" t="str">
        <f t="shared" si="171"/>
        <v>Guidance</v>
      </c>
      <c r="CL88" t="str">
        <f t="shared" si="155"/>
        <v>4.2.3.GY</v>
      </c>
      <c r="CM88" t="str">
        <f>IF(AND(CI88&lt;&gt;"",LEFT(CI88,1)&lt;&gt;"#"),IF(LEFT(CI88,1)="-",REPLACE(CI88,1,1,tech!$H$2),CI88),"")</f>
        <v>Security awareness should ensure that personnel are knowledgeable about the threat landscape, their responsibility for the operation of relevant security controls, and are able to access assistance and guidance when required.</v>
      </c>
      <c r="CN88" t="s">
        <v>495</v>
      </c>
      <c r="CO88" s="492"/>
      <c r="CP88" t="str">
        <f t="shared" si="124"/>
        <v>Establish single point of contact</v>
      </c>
      <c r="CQ88" t="str">
        <f t="shared" si="172"/>
        <v>Guidance</v>
      </c>
      <c r="CR88" t="str">
        <f t="shared" si="157"/>
        <v>4.3.3.GX</v>
      </c>
      <c r="CS88" t="str">
        <f>IF(AND(CO88&lt;&gt;"",LEFT(CO88,1)&lt;&gt;"#"),IF(LEFT(CO88,1)="-",REPLACE(CO88,1,1,tech!$H$2),CO88),"")</f>
        <v/>
      </c>
      <c r="CT88" t="s">
        <v>495</v>
      </c>
    </row>
    <row r="89" spans="3:98" x14ac:dyDescent="0.25">
      <c r="C89" s="492"/>
      <c r="D89" t="str">
        <f t="shared" si="125"/>
        <v>Optimized</v>
      </c>
      <c r="E89" t="str">
        <f t="shared" si="126"/>
        <v>Associated risks</v>
      </c>
      <c r="F89" t="str">
        <f>_xlfn.CONCAT(VLOOKUP(D89,tech!$A$13:$B$17,2,0),LEFT(E89,1),IF(G89="","X","Y"))</f>
        <v>5AX</v>
      </c>
      <c r="G89" t="str">
        <f>IF(IF(LEFT(C89,1)="-",C89,"")="","",REPLACE(IF(LEFT(C89,1)="-",C89,""),1,1,tech!$H$2))</f>
        <v/>
      </c>
      <c r="H89" t="s">
        <v>495</v>
      </c>
      <c r="I89" s="492" t="s">
        <v>534</v>
      </c>
      <c r="J89" t="str">
        <f t="shared" si="127"/>
        <v>Architecture and design of the PKI</v>
      </c>
      <c r="K89" t="str">
        <f t="shared" si="158"/>
        <v>Guidance</v>
      </c>
      <c r="L89" t="str">
        <f t="shared" si="129"/>
        <v>1.1.4.GY</v>
      </c>
      <c r="M89" t="str">
        <f>IF(AND(I89&lt;&gt;"",LEFT(I89,1)&lt;&gt;"#"),IF(LEFT(I89,1)="-",REPLACE(I89,1,1,tech!$H$2),I89),"")</f>
        <v>• operational requirements</v>
      </c>
      <c r="N89" t="s">
        <v>495</v>
      </c>
      <c r="O89" s="492" t="s">
        <v>501</v>
      </c>
      <c r="P89" t="str">
        <f t="shared" si="111"/>
        <v>Certification practice statement is documented and published</v>
      </c>
      <c r="Q89" t="str">
        <f t="shared" si="159"/>
        <v>Assessment</v>
      </c>
      <c r="R89" t="str">
        <f t="shared" si="131"/>
        <v>1.2.3.AX</v>
      </c>
      <c r="S89" t="str">
        <f>IF(AND(O89&lt;&gt;"",LEFT(O89,1)&lt;&gt;"#"),IF(LEFT(O89,1)="-",REPLACE(O89,1,1,tech!$H$2),O89),"")</f>
        <v/>
      </c>
      <c r="T89" t="s">
        <v>495</v>
      </c>
      <c r="U89" s="492" t="s">
        <v>639</v>
      </c>
      <c r="V89" t="str">
        <f t="shared" si="112"/>
        <v>List of relevant laws, regulations, and standards, exist and is maintained</v>
      </c>
      <c r="W89" t="str">
        <f t="shared" si="160"/>
        <v>Guidance</v>
      </c>
      <c r="X89" t="str">
        <f t="shared" si="133"/>
        <v>1.3.4.GY</v>
      </c>
      <c r="Y89" t="str">
        <f>IF(AND(U89&lt;&gt;"",LEFT(U89,1)&lt;&gt;"#"),IF(LEFT(U89,1)="-",REPLACE(U89,1,1,tech!$H$2),U89),"")</f>
        <v>To better understand the relevance to PKI, one should understand the differences between laws, regulations, and standards.</v>
      </c>
      <c r="Z89" t="s">
        <v>495</v>
      </c>
      <c r="AA89" s="492" t="s">
        <v>674</v>
      </c>
      <c r="AB89" t="str">
        <f t="shared" si="113"/>
        <v>Evidence from procedures is collected and maintained</v>
      </c>
      <c r="AC89" t="str">
        <f t="shared" si="161"/>
        <v>Guidance</v>
      </c>
      <c r="AD89" t="str">
        <f t="shared" si="135"/>
        <v>1.4.4.GY</v>
      </c>
      <c r="AE89" t="str">
        <f>IF(AND(AA89&lt;&gt;"",LEFT(AA89,1)&lt;&gt;"#"),IF(LEFT(AA89,1)="-",REPLACE(AA89,1,1,tech!$H$2),AA89),"")</f>
        <v xml:space="preserve">Each process, procedure, instruction, or activity would not be effective without evidence confirming that it was performed. The evidence should be descriptive with all relevant information, such as date and time, who performed the activity, what was the result, and other information, if needed. </v>
      </c>
      <c r="AF89" t="s">
        <v>495</v>
      </c>
      <c r="AG89" s="492" t="s">
        <v>755</v>
      </c>
      <c r="AH89" t="str">
        <f t="shared" si="114"/>
        <v>Inventory of cryptographic devices is documented and maintained</v>
      </c>
      <c r="AI89" t="str">
        <f t="shared" si="162"/>
        <v>Assessment</v>
      </c>
      <c r="AJ89" t="str">
        <f t="shared" si="137"/>
        <v>2.1.3.AY</v>
      </c>
      <c r="AK89" t="str">
        <f>IF(AND(AG89&lt;&gt;"",LEFT(AG89,1)&lt;&gt;"#"),IF(LEFT(AG89,1)="-",REPLACE(AG89,1,1,tech!$H$2),AG89),"")</f>
        <v>• Validation of records</v>
      </c>
      <c r="AL89" t="s">
        <v>495</v>
      </c>
      <c r="AM89" s="492" t="s">
        <v>823</v>
      </c>
      <c r="AN89" t="str">
        <f t="shared" si="115"/>
        <v>Certificate lifecycle management is documented</v>
      </c>
      <c r="AO89" t="str">
        <f t="shared" si="163"/>
        <v>Guidance</v>
      </c>
      <c r="AP89" t="str">
        <f t="shared" si="139"/>
        <v>2.2.3.GY</v>
      </c>
      <c r="AQ89" t="str">
        <f>IF(AND(AM89&lt;&gt;"",LEFT(AM89,1)&lt;&gt;"#"),IF(LEFT(AM89,1)="-",REPLACE(AM89,1,1,tech!$H$2),AM89),"")</f>
        <v xml:space="preserve">   * Trust anchors on machines and devices are a key point of trust management in the organization. Unmanaged trust stores can cause both outages and security issues.</v>
      </c>
      <c r="AR89" t="s">
        <v>495</v>
      </c>
      <c r="AS89" s="492" t="s">
        <v>501</v>
      </c>
      <c r="AT89" t="str">
        <f t="shared" si="116"/>
        <v>Network vulnerability management is implemented and maintained</v>
      </c>
      <c r="AU89" t="str">
        <f t="shared" si="164"/>
        <v>Assessment</v>
      </c>
      <c r="AV89" t="str">
        <f t="shared" si="141"/>
        <v>2.3.3.AX</v>
      </c>
      <c r="AW89" t="str">
        <f>IF(AND(AS89&lt;&gt;"",LEFT(AS89,1)&lt;&gt;"#"),IF(LEFT(AS89,1)="-",REPLACE(AS89,1,1,tech!$H$2),AS89),"")</f>
        <v/>
      </c>
      <c r="AX89" t="s">
        <v>495</v>
      </c>
      <c r="AY89" s="492"/>
      <c r="AZ89" t="str">
        <f t="shared" si="117"/>
        <v>The change management process is documented and implemented</v>
      </c>
      <c r="BA89" t="str">
        <f t="shared" si="165"/>
        <v>Guidance</v>
      </c>
      <c r="BB89" t="str">
        <f t="shared" si="143"/>
        <v>2.4.3.GX</v>
      </c>
      <c r="BC89" t="str">
        <f>IF(AND(AY89&lt;&gt;"",LEFT(AY89,1)&lt;&gt;"#"),IF(LEFT(AY89,1)="-",REPLACE(AY89,1,1,tech!$H$2),AY89),"")</f>
        <v/>
      </c>
      <c r="BD89" t="s">
        <v>495</v>
      </c>
      <c r="BE89" s="492" t="s">
        <v>1065</v>
      </c>
      <c r="BF89" t="str">
        <f t="shared" si="118"/>
        <v>Business continuity planning and disaster recovery</v>
      </c>
      <c r="BG89" t="str">
        <f t="shared" si="166"/>
        <v>Assessment</v>
      </c>
      <c r="BH89" t="str">
        <f t="shared" si="145"/>
        <v>3.1.3.AY</v>
      </c>
      <c r="BI89" t="str">
        <f>IF(AND(BE89&lt;&gt;"",LEFT(BE89,1)&lt;&gt;"#"),IF(LEFT(BE89,1)="-",REPLACE(BE89,1,1,tech!$H$2),BE89),"")</f>
        <v>• Documented business continuity and disaster recovery plans</v>
      </c>
      <c r="BJ89" t="s">
        <v>495</v>
      </c>
      <c r="BK89" s="492"/>
      <c r="BL89" t="str">
        <f t="shared" si="119"/>
        <v>Adoption and application of open standards</v>
      </c>
      <c r="BM89" t="str">
        <f t="shared" si="167"/>
        <v>References</v>
      </c>
      <c r="BN89" t="str">
        <f t="shared" si="147"/>
        <v>3.2.3.RX</v>
      </c>
      <c r="BO89" t="str">
        <f>IF(AND(BK89&lt;&gt;"",LEFT(BK89,1)&lt;&gt;"#"),IF(LEFT(BK89,1)="-",REPLACE(BK89,1,1,tech!$H$2),BK89),"")</f>
        <v/>
      </c>
      <c r="BP89" t="s">
        <v>495</v>
      </c>
      <c r="BQ89" s="492" t="s">
        <v>1194</v>
      </c>
      <c r="BR89" t="str">
        <f t="shared" si="120"/>
        <v>Audit trail can be reconstructed from audit logs</v>
      </c>
      <c r="BS89" t="str">
        <f t="shared" si="168"/>
        <v>Guidance</v>
      </c>
      <c r="BT89" t="str">
        <f t="shared" si="149"/>
        <v>3.3.3.GY</v>
      </c>
      <c r="BU89" t="str">
        <f>IF(AND(BQ89&lt;&gt;"",LEFT(BQ89,1)&lt;&gt;"#"),IF(LEFT(BQ89,1)="-",REPLACE(BQ89,1,1,tech!$H$2),BQ89),"")</f>
        <v>• access to all Audit trails</v>
      </c>
      <c r="BV89" t="s">
        <v>495</v>
      </c>
      <c r="BW89" s="492" t="s">
        <v>1249</v>
      </c>
      <c r="BX89" t="str">
        <f t="shared" si="121"/>
        <v>Incidents and exceptions handling</v>
      </c>
      <c r="BY89" t="str">
        <f t="shared" si="169"/>
        <v>Assessment</v>
      </c>
      <c r="BZ89" t="str">
        <f t="shared" si="151"/>
        <v>3.4.3.AY</v>
      </c>
      <c r="CA89" t="str">
        <f>IF(AND(BW89&lt;&gt;"",LEFT(BW89,1)&lt;&gt;"#"),IF(LEFT(BW89,1)="-",REPLACE(BW89,1,1,tech!$H$2),BW89),"")</f>
        <v>• Interview with responsible personnel about how to handle Exceptions or incidents</v>
      </c>
      <c r="CB89" t="s">
        <v>495</v>
      </c>
      <c r="CC89" s="492" t="s">
        <v>1469</v>
      </c>
      <c r="CD89" t="str">
        <f t="shared" si="122"/>
        <v>Resources are periodically reviewed</v>
      </c>
      <c r="CE89" t="str">
        <f t="shared" si="170"/>
        <v>Guidance</v>
      </c>
      <c r="CF89" t="str">
        <f t="shared" si="153"/>
        <v>4.1.4.GY</v>
      </c>
      <c r="CG89" t="str">
        <f>IF(AND(CC89&lt;&gt;"",LEFT(CC89,1)&lt;&gt;"#"),IF(LEFT(CC89,1)="-",REPLACE(CC89,1,1,tech!$H$2),CC89),"")</f>
        <v>• Review announcements and technology trends (for example “end of life” plans for a technology)</v>
      </c>
      <c r="CH89" t="s">
        <v>495</v>
      </c>
      <c r="CI89" s="492"/>
      <c r="CJ89" t="str">
        <f t="shared" si="123"/>
        <v>Perform security awareness training</v>
      </c>
      <c r="CK89" t="str">
        <f t="shared" si="171"/>
        <v>Guidance</v>
      </c>
      <c r="CL89" t="str">
        <f t="shared" si="155"/>
        <v>4.2.3.GY</v>
      </c>
      <c r="CM89" t="str">
        <f>IF(AND(CI89&lt;&gt;"",LEFT(CI89,1)&lt;&gt;"#"),IF(LEFT(CI89,1)="-",REPLACE(CI89,1,1,tech!$H$2),CI89),"")</f>
        <v/>
      </c>
      <c r="CN89" t="s">
        <v>495</v>
      </c>
      <c r="CO89" s="492" t="s">
        <v>501</v>
      </c>
      <c r="CP89" t="str">
        <f t="shared" si="124"/>
        <v>Establish single point of contact</v>
      </c>
      <c r="CQ89" t="str">
        <f t="shared" si="172"/>
        <v>Assessment</v>
      </c>
      <c r="CR89" t="str">
        <f t="shared" si="157"/>
        <v>4.3.3.AX</v>
      </c>
      <c r="CS89" t="str">
        <f>IF(AND(CO89&lt;&gt;"",LEFT(CO89,1)&lt;&gt;"#"),IF(LEFT(CO89,1)="-",REPLACE(CO89,1,1,tech!$H$2),CO89),"")</f>
        <v/>
      </c>
      <c r="CT89" t="s">
        <v>495</v>
      </c>
    </row>
    <row r="90" spans="3:98" x14ac:dyDescent="0.25">
      <c r="C90" s="492"/>
      <c r="D90" t="str">
        <f t="shared" ref="D90:D123" si="173">IF(AND(LEFT(C90,1)="#",IFERROR(LEN(_xlfn.TEXTBEFORE(C90," "))=2,0)),_xlfn.TEXTBEFORE(_xlfn.TEXTAFTER(C90," ")," "),D89)</f>
        <v>Optimized</v>
      </c>
      <c r="E90" t="str">
        <f t="shared" ref="E90:E123" si="174">IF(AND(LEFT(C90,1)="#",IFERROR(LEN(_xlfn.TEXTBEFORE(C90," "))=3,0)),_xlfn.TEXTAFTER(C90," "),E89)</f>
        <v>Associated risks</v>
      </c>
      <c r="F90" t="str">
        <f>_xlfn.CONCAT(VLOOKUP(D90,tech!$A$13:$B$17,2,0),LEFT(E90,1),IF(G90="","X","Y"))</f>
        <v>5AX</v>
      </c>
      <c r="G90" t="str">
        <f>IF(IF(LEFT(C90,1)="-",C90,"")="","",REPLACE(IF(LEFT(C90,1)="-",C90,""),1,1,tech!$H$2))</f>
        <v/>
      </c>
      <c r="H90" t="s">
        <v>495</v>
      </c>
      <c r="I90" s="492" t="s">
        <v>535</v>
      </c>
      <c r="J90" t="str">
        <f t="shared" si="127"/>
        <v>Architecture and design of the PKI</v>
      </c>
      <c r="K90" t="str">
        <f t="shared" si="158"/>
        <v>Guidance</v>
      </c>
      <c r="L90" t="str">
        <f t="shared" si="129"/>
        <v>1.1.4.GY</v>
      </c>
      <c r="M90" t="str">
        <f>IF(AND(I90&lt;&gt;"",LEFT(I90,1)&lt;&gt;"#"),IF(LEFT(I90,1)="-",REPLACE(I90,1,1,tech!$H$2),I90),"")</f>
        <v>• Security requirements</v>
      </c>
      <c r="N90" t="s">
        <v>495</v>
      </c>
      <c r="O90" s="492"/>
      <c r="P90" t="str">
        <f t="shared" si="111"/>
        <v>Certification practice statement is documented and published</v>
      </c>
      <c r="Q90" t="str">
        <f t="shared" si="159"/>
        <v>Assessment</v>
      </c>
      <c r="R90" t="str">
        <f t="shared" si="131"/>
        <v>1.2.3.AX</v>
      </c>
      <c r="S90" t="str">
        <f>IF(AND(O90&lt;&gt;"",LEFT(O90,1)&lt;&gt;"#"),IF(LEFT(O90,1)="-",REPLACE(O90,1,1,tech!$H$2),O90),"")</f>
        <v/>
      </c>
      <c r="T90" t="s">
        <v>495</v>
      </c>
      <c r="U90" s="492"/>
      <c r="V90" t="str">
        <f t="shared" si="112"/>
        <v>List of relevant laws, regulations, and standards, exist and is maintained</v>
      </c>
      <c r="W90" t="str">
        <f t="shared" si="160"/>
        <v>Guidance</v>
      </c>
      <c r="X90" t="str">
        <f t="shared" si="133"/>
        <v>1.3.4.GY</v>
      </c>
      <c r="Y90" t="str">
        <f>IF(AND(U90&lt;&gt;"",LEFT(U90,1)&lt;&gt;"#"),IF(LEFT(U90,1)="-",REPLACE(U90,1,1,tech!$H$2),U90),"")</f>
        <v/>
      </c>
      <c r="Z90" t="s">
        <v>495</v>
      </c>
      <c r="AA90" s="492"/>
      <c r="AB90" t="str">
        <f t="shared" si="113"/>
        <v>Evidence from procedures is collected and maintained</v>
      </c>
      <c r="AC90" t="str">
        <f t="shared" si="161"/>
        <v>Guidance</v>
      </c>
      <c r="AD90" t="str">
        <f t="shared" si="135"/>
        <v>1.4.4.GY</v>
      </c>
      <c r="AE90" t="str">
        <f>IF(AND(AA90&lt;&gt;"",LEFT(AA90,1)&lt;&gt;"#"),IF(LEFT(AA90,1)="-",REPLACE(AA90,1,1,tech!$H$2),AA90),"")</f>
        <v/>
      </c>
      <c r="AF90" t="s">
        <v>495</v>
      </c>
      <c r="AG90" s="492"/>
      <c r="AH90" t="str">
        <f t="shared" si="114"/>
        <v>Inventory of cryptographic devices is documented and maintained</v>
      </c>
      <c r="AI90" t="str">
        <f t="shared" si="162"/>
        <v>Assessment</v>
      </c>
      <c r="AJ90" t="str">
        <f t="shared" si="137"/>
        <v>2.1.3.AX</v>
      </c>
      <c r="AK90" t="str">
        <f>IF(AND(AG90&lt;&gt;"",LEFT(AG90,1)&lt;&gt;"#"),IF(LEFT(AG90,1)="-",REPLACE(AG90,1,1,tech!$H$2),AG90),"")</f>
        <v/>
      </c>
      <c r="AL90" t="s">
        <v>495</v>
      </c>
      <c r="AM90" s="492"/>
      <c r="AN90" t="str">
        <f t="shared" si="115"/>
        <v>Certificate lifecycle management is documented</v>
      </c>
      <c r="AO90" t="str">
        <f t="shared" si="163"/>
        <v>Guidance</v>
      </c>
      <c r="AP90" t="str">
        <f t="shared" si="139"/>
        <v>2.2.3.GX</v>
      </c>
      <c r="AQ90" t="str">
        <f>IF(AND(AM90&lt;&gt;"",LEFT(AM90,1)&lt;&gt;"#"),IF(LEFT(AM90,1)="-",REPLACE(AM90,1,1,tech!$H$2),AM90),"")</f>
        <v/>
      </c>
      <c r="AR90" t="s">
        <v>495</v>
      </c>
      <c r="AS90" s="492"/>
      <c r="AT90" t="str">
        <f t="shared" si="116"/>
        <v>Network vulnerability management is implemented and maintained</v>
      </c>
      <c r="AU90" t="str">
        <f t="shared" si="164"/>
        <v>Assessment</v>
      </c>
      <c r="AV90" t="str">
        <f t="shared" si="141"/>
        <v>2.3.3.AX</v>
      </c>
      <c r="AW90" t="str">
        <f>IF(AND(AS90&lt;&gt;"",LEFT(AS90,1)&lt;&gt;"#"),IF(LEFT(AS90,1)="-",REPLACE(AS90,1,1,tech!$H$2),AS90),"")</f>
        <v/>
      </c>
      <c r="AX90" t="s">
        <v>495</v>
      </c>
      <c r="AY90" s="492" t="s">
        <v>501</v>
      </c>
      <c r="AZ90" t="str">
        <f t="shared" si="117"/>
        <v>The change management process is documented and implemented</v>
      </c>
      <c r="BA90" t="str">
        <f t="shared" si="165"/>
        <v>Assessment</v>
      </c>
      <c r="BB90" t="str">
        <f t="shared" si="143"/>
        <v>2.4.3.AX</v>
      </c>
      <c r="BC90" t="str">
        <f>IF(AND(AY90&lt;&gt;"",LEFT(AY90,1)&lt;&gt;"#"),IF(LEFT(AY90,1)="-",REPLACE(AY90,1,1,tech!$H$2),AY90),"")</f>
        <v/>
      </c>
      <c r="BD90" t="s">
        <v>495</v>
      </c>
      <c r="BE90" s="492" t="s">
        <v>1066</v>
      </c>
      <c r="BF90" t="str">
        <f t="shared" si="118"/>
        <v>Business continuity planning and disaster recovery</v>
      </c>
      <c r="BG90" t="str">
        <f t="shared" si="166"/>
        <v>Assessment</v>
      </c>
      <c r="BH90" t="str">
        <f t="shared" si="145"/>
        <v>3.1.3.AY</v>
      </c>
      <c r="BI90" t="str">
        <f>IF(AND(BE90&lt;&gt;"",LEFT(BE90,1)&lt;&gt;"#"),IF(LEFT(BE90,1)="-",REPLACE(BE90,1,1,tech!$H$2),BE90),"")</f>
        <v>• Documented recovery time objectives (RTO) and recovery point objectives (RPO)</v>
      </c>
      <c r="BJ90" t="s">
        <v>495</v>
      </c>
      <c r="BK90" s="492" t="s">
        <v>1103</v>
      </c>
      <c r="BL90" t="str">
        <f t="shared" si="119"/>
        <v>Adoption and application of open standards</v>
      </c>
      <c r="BM90" t="str">
        <f t="shared" si="167"/>
        <v>References</v>
      </c>
      <c r="BN90" t="str">
        <f t="shared" si="147"/>
        <v>3.2.3.RY</v>
      </c>
      <c r="BO90" t="str">
        <f>IF(AND(BK90&lt;&gt;"",LEFT(BK90,1)&lt;&gt;"#"),IF(LEFT(BK90,1)="-",REPLACE(BK90,1,1,tech!$H$2),BK90),"")</f>
        <v>• [Open Standards Principles](https://www.gov.uk/government/publications/open-standards-principles/open-standards-principles)</v>
      </c>
      <c r="BP90" t="s">
        <v>495</v>
      </c>
      <c r="BQ90" s="492" t="s">
        <v>1195</v>
      </c>
      <c r="BR90" t="str">
        <f t="shared" si="120"/>
        <v>Audit trail can be reconstructed from audit logs</v>
      </c>
      <c r="BS90" t="str">
        <f t="shared" si="168"/>
        <v>Guidance</v>
      </c>
      <c r="BT90" t="str">
        <f t="shared" si="149"/>
        <v>3.3.3.GY</v>
      </c>
      <c r="BU90" t="str">
        <f>IF(AND(BQ90&lt;&gt;"",LEFT(BQ90,1)&lt;&gt;"#"),IF(LEFT(BQ90,1)="-",REPLACE(BQ90,1,1,tech!$H$2),BQ90),"")</f>
        <v>• Invalid logical access attempts</v>
      </c>
      <c r="BV90" t="s">
        <v>495</v>
      </c>
      <c r="BW90" s="492"/>
      <c r="BX90" t="str">
        <f t="shared" si="121"/>
        <v>Incidents and exceptions handling</v>
      </c>
      <c r="BY90" t="str">
        <f t="shared" si="169"/>
        <v>Assessment</v>
      </c>
      <c r="BZ90" t="str">
        <f t="shared" si="151"/>
        <v>3.4.3.AX</v>
      </c>
      <c r="CA90" t="str">
        <f>IF(AND(BW90&lt;&gt;"",LEFT(BW90,1)&lt;&gt;"#"),IF(LEFT(BW90,1)="-",REPLACE(BW90,1,1,tech!$H$2),BW90),"")</f>
        <v/>
      </c>
      <c r="CB90" t="s">
        <v>495</v>
      </c>
      <c r="CC90" s="492" t="s">
        <v>1272</v>
      </c>
      <c r="CD90" t="str">
        <f t="shared" si="122"/>
        <v>Resources are periodically reviewed</v>
      </c>
      <c r="CE90" t="str">
        <f t="shared" si="170"/>
        <v>Guidance</v>
      </c>
      <c r="CF90" t="str">
        <f t="shared" si="153"/>
        <v>4.1.4.GY</v>
      </c>
      <c r="CG90" t="str">
        <f>IF(AND(CC90&lt;&gt;"",LEFT(CC90,1)&lt;&gt;"#"),IF(LEFT(CC90,1)="-",REPLACE(CC90,1,1,tech!$H$2),CC90),"")</f>
        <v>• Documentation of any remediation plan, updates to sourcing of the PKI, that should be approved by the management</v>
      </c>
      <c r="CH90" t="s">
        <v>495</v>
      </c>
      <c r="CI90" s="492" t="s">
        <v>1306</v>
      </c>
      <c r="CJ90" t="str">
        <f t="shared" si="123"/>
        <v>Perform security awareness training</v>
      </c>
      <c r="CK90" t="str">
        <f t="shared" si="171"/>
        <v>Guidance</v>
      </c>
      <c r="CL90" t="str">
        <f t="shared" si="155"/>
        <v>4.2.3.GY</v>
      </c>
      <c r="CM90" t="str">
        <f>IF(AND(CI90&lt;&gt;"",LEFT(CI90,1)&lt;&gt;"#"),IF(LEFT(CI90,1)="-",REPLACE(CI90,1,1,tech!$H$2),CI90),"")</f>
        <v>Different methods can be applied to provide security awareness, for example:</v>
      </c>
      <c r="CN90" t="s">
        <v>495</v>
      </c>
      <c r="CO90" s="492"/>
      <c r="CP90" t="str">
        <f t="shared" si="124"/>
        <v>Establish single point of contact</v>
      </c>
      <c r="CQ90" t="str">
        <f t="shared" si="172"/>
        <v>Assessment</v>
      </c>
      <c r="CR90" t="str">
        <f t="shared" si="157"/>
        <v>4.3.3.AX</v>
      </c>
      <c r="CS90" t="str">
        <f>IF(AND(CO90&lt;&gt;"",LEFT(CO90,1)&lt;&gt;"#"),IF(LEFT(CO90,1)="-",REPLACE(CO90,1,1,tech!$H$2),CO90),"")</f>
        <v/>
      </c>
      <c r="CT90" t="s">
        <v>495</v>
      </c>
    </row>
    <row r="91" spans="3:98" x14ac:dyDescent="0.25">
      <c r="C91" s="492"/>
      <c r="D91" t="str">
        <f t="shared" si="173"/>
        <v>Optimized</v>
      </c>
      <c r="E91" t="str">
        <f t="shared" si="174"/>
        <v>Associated risks</v>
      </c>
      <c r="F91" t="str">
        <f>_xlfn.CONCAT(VLOOKUP(D91,tech!$A$13:$B$17,2,0),LEFT(E91,1),IF(G91="","X","Y"))</f>
        <v>5AX</v>
      </c>
      <c r="G91" t="str">
        <f>IF(IF(LEFT(C91,1)="-",C91,"")="","",REPLACE(IF(LEFT(C91,1)="-",C91,""),1,1,tech!$H$2))</f>
        <v/>
      </c>
      <c r="H91" t="s">
        <v>495</v>
      </c>
      <c r="I91" s="492" t="s">
        <v>536</v>
      </c>
      <c r="J91" t="str">
        <f t="shared" si="127"/>
        <v>Architecture and design of the PKI</v>
      </c>
      <c r="K91" t="str">
        <f t="shared" si="158"/>
        <v>Guidance</v>
      </c>
      <c r="L91" t="str">
        <f t="shared" si="129"/>
        <v>1.1.4.GY</v>
      </c>
      <c r="M91" t="str">
        <f>IF(AND(I91&lt;&gt;"",LEFT(I91,1)&lt;&gt;"#"),IF(LEFT(I91,1)="-",REPLACE(I91,1,1,tech!$H$2),I91),"")</f>
        <v>• Deployment options</v>
      </c>
      <c r="N91" t="s">
        <v>495</v>
      </c>
      <c r="O91" s="492" t="s">
        <v>581</v>
      </c>
      <c r="P91" t="str">
        <f t="shared" si="111"/>
        <v>Certification practice statement is documented and published</v>
      </c>
      <c r="Q91" t="str">
        <f t="shared" si="159"/>
        <v>Assessment</v>
      </c>
      <c r="R91" t="str">
        <f t="shared" si="131"/>
        <v>1.2.3.AY</v>
      </c>
      <c r="S91" t="str">
        <f>IF(AND(O91&lt;&gt;"",LEFT(O91,1)&lt;&gt;"#"),IF(LEFT(O91,1)="-",REPLACE(O91,1,1,tech!$H$2),O91),"")</f>
        <v>• the CPS is properly Documented in its full scope</v>
      </c>
      <c r="T91" t="s">
        <v>495</v>
      </c>
      <c r="U91" s="492" t="s">
        <v>640</v>
      </c>
      <c r="V91" t="str">
        <f t="shared" si="112"/>
        <v>List of relevant laws, regulations, and standards, exist and is maintained</v>
      </c>
      <c r="W91" t="str">
        <f t="shared" si="160"/>
        <v>Guidance</v>
      </c>
      <c r="X91" t="str">
        <f t="shared" si="133"/>
        <v>1.3.4.GY</v>
      </c>
      <c r="Y91" t="str">
        <f>IF(AND(U91&lt;&gt;"",LEFT(U91,1)&lt;&gt;"#"),IF(LEFT(U91,1)="-",REPLACE(U91,1,1,tech!$H$2),U91),"")</f>
        <v>Laws are legal rules that are enacted by a governing body, such as a federal, state or local government.  They are binding and enforceable by the legal system within the jurisdiction of the governing body that enacted them.  Violating law can lead to legal consequences, such as fines or imprisonment.</v>
      </c>
      <c r="Z91" t="s">
        <v>495</v>
      </c>
      <c r="AA91" s="492" t="s">
        <v>675</v>
      </c>
      <c r="AB91" t="str">
        <f t="shared" si="113"/>
        <v>Evidence from procedures is collected and maintained</v>
      </c>
      <c r="AC91" t="str">
        <f t="shared" si="161"/>
        <v>Guidance</v>
      </c>
      <c r="AD91" t="str">
        <f t="shared" si="135"/>
        <v>1.4.4.GY</v>
      </c>
      <c r="AE91" t="str">
        <f>IF(AND(AA91&lt;&gt;"",LEFT(AA91,1)&lt;&gt;"#"),IF(LEFT(AA91,1)="-",REPLACE(AA91,1,1,tech!$H$2),AA91),"")</f>
        <v>The evidence can be collected and maintained in various forms, such as logs, reports, notes, screenshots, etc. The evidence should be collected and maintained for the defined period of time, and should be available for the audit or other purposes.</v>
      </c>
      <c r="AF91" t="s">
        <v>495</v>
      </c>
      <c r="AG91" s="492" t="s">
        <v>503</v>
      </c>
      <c r="AH91" t="str">
        <f t="shared" si="114"/>
        <v>Inventory of cryptographic devices is documented and maintained</v>
      </c>
      <c r="AI91" t="str">
        <f t="shared" si="162"/>
        <v>References</v>
      </c>
      <c r="AJ91" t="str">
        <f t="shared" si="137"/>
        <v>2.1.3.RX</v>
      </c>
      <c r="AK91" t="str">
        <f>IF(AND(AG91&lt;&gt;"",LEFT(AG91,1)&lt;&gt;"#"),IF(LEFT(AG91,1)="-",REPLACE(AG91,1,1,tech!$H$2),AG91),"")</f>
        <v/>
      </c>
      <c r="AL91" t="s">
        <v>495</v>
      </c>
      <c r="AM91" s="492" t="s">
        <v>501</v>
      </c>
      <c r="AN91" t="str">
        <f t="shared" si="115"/>
        <v>Certificate lifecycle management is documented</v>
      </c>
      <c r="AO91" t="str">
        <f t="shared" si="163"/>
        <v>Assessment</v>
      </c>
      <c r="AP91" t="str">
        <f t="shared" si="139"/>
        <v>2.2.3.AX</v>
      </c>
      <c r="AQ91" t="str">
        <f>IF(AND(AM91&lt;&gt;"",LEFT(AM91,1)&lt;&gt;"#"),IF(LEFT(AM91,1)="-",REPLACE(AM91,1,1,tech!$H$2),AM91),"")</f>
        <v/>
      </c>
      <c r="AR91" t="s">
        <v>495</v>
      </c>
      <c r="AS91" s="492" t="s">
        <v>502</v>
      </c>
      <c r="AT91" t="str">
        <f t="shared" si="116"/>
        <v>Network vulnerability management is implemented and maintained</v>
      </c>
      <c r="AU91" t="str">
        <f t="shared" si="164"/>
        <v>Assessment</v>
      </c>
      <c r="AV91" t="str">
        <f t="shared" si="141"/>
        <v>2.3.3.AY</v>
      </c>
      <c r="AW91" t="str">
        <f>IF(AND(AS91&lt;&gt;"",LEFT(AS91,1)&lt;&gt;"#"),IF(LEFT(AS91,1)="-",REPLACE(AS91,1,1,tech!$H$2),AS91),"")</f>
        <v>The following is sample evidence that can be used to assess the requirement:</v>
      </c>
      <c r="AX91" t="s">
        <v>495</v>
      </c>
      <c r="AY91" s="492"/>
      <c r="AZ91" t="str">
        <f t="shared" si="117"/>
        <v>The change management process is documented and implemented</v>
      </c>
      <c r="BA91" t="str">
        <f t="shared" si="165"/>
        <v>Assessment</v>
      </c>
      <c r="BB91" t="str">
        <f t="shared" si="143"/>
        <v>2.4.3.AX</v>
      </c>
      <c r="BC91" t="str">
        <f>IF(AND(AY91&lt;&gt;"",LEFT(AY91,1)&lt;&gt;"#"),IF(LEFT(AY91,1)="-",REPLACE(AY91,1,1,tech!$H$2),AY91),"")</f>
        <v/>
      </c>
      <c r="BD91" t="s">
        <v>495</v>
      </c>
      <c r="BE91" s="492" t="s">
        <v>1067</v>
      </c>
      <c r="BF91" t="str">
        <f t="shared" si="118"/>
        <v>Business continuity planning and disaster recovery</v>
      </c>
      <c r="BG91" t="str">
        <f t="shared" si="166"/>
        <v>Assessment</v>
      </c>
      <c r="BH91" t="str">
        <f t="shared" si="145"/>
        <v>3.1.3.AY</v>
      </c>
      <c r="BI91" t="str">
        <f>IF(AND(BE91&lt;&gt;"",LEFT(BE91,1)&lt;&gt;"#"),IF(LEFT(BE91,1)="-",REPLACE(BE91,1,1,tech!$H$2),BE91),"")</f>
        <v>• Documented Backup and recovery procedures</v>
      </c>
      <c r="BJ91" t="s">
        <v>495</v>
      </c>
      <c r="BK91" s="492" t="s">
        <v>1104</v>
      </c>
      <c r="BL91" t="str">
        <f t="shared" si="119"/>
        <v>Adoption and application of open standards</v>
      </c>
      <c r="BM91" t="str">
        <f t="shared" si="167"/>
        <v>References</v>
      </c>
      <c r="BN91" t="str">
        <f t="shared" si="147"/>
        <v>3.2.3.RY</v>
      </c>
      <c r="BO91" t="str">
        <f>IF(AND(BK91&lt;&gt;"",LEFT(BK91,1)&lt;&gt;"#"),IF(LEFT(BK91,1)="-",REPLACE(BK91,1,1,tech!$H$2),BK91),"")</f>
        <v>• [IETF Request for Comments (RFC)](https://www.ietf.org/standards/rfcs/)</v>
      </c>
      <c r="BP91" t="s">
        <v>495</v>
      </c>
      <c r="BQ91" s="492" t="s">
        <v>1157</v>
      </c>
      <c r="BR91" t="str">
        <f t="shared" si="120"/>
        <v>Audit trail can be reconstructed from audit logs</v>
      </c>
      <c r="BS91" t="str">
        <f t="shared" si="168"/>
        <v>Guidance</v>
      </c>
      <c r="BT91" t="str">
        <f t="shared" si="149"/>
        <v>3.3.3.GY</v>
      </c>
      <c r="BU91" t="str">
        <f>IF(AND(BQ91&lt;&gt;"",LEFT(BQ91,1)&lt;&gt;"#"),IF(LEFT(BQ91,1)="-",REPLACE(BQ91,1,1,tech!$H$2),BQ91),"")</f>
        <v>• Use of and changes to identification and authentication mechanisms - including but not limited to creation of new accounts and elevation of privileges - and all changes, additions, or deletions to accounts with root or administrative privileges</v>
      </c>
      <c r="BV91" t="s">
        <v>495</v>
      </c>
      <c r="BW91" s="492" t="s">
        <v>503</v>
      </c>
      <c r="BX91" t="str">
        <f t="shared" si="121"/>
        <v>Incidents and exceptions handling</v>
      </c>
      <c r="BY91" t="str">
        <f t="shared" si="169"/>
        <v>References</v>
      </c>
      <c r="BZ91" t="str">
        <f t="shared" si="151"/>
        <v>3.4.3.RX</v>
      </c>
      <c r="CA91" t="str">
        <f>IF(AND(BW91&lt;&gt;"",LEFT(BW91,1)&lt;&gt;"#"),IF(LEFT(BW91,1)="-",REPLACE(BW91,1,1,tech!$H$2),BW91),"")</f>
        <v/>
      </c>
      <c r="CB91" t="s">
        <v>495</v>
      </c>
      <c r="CC91" s="492"/>
      <c r="CD91" t="str">
        <f t="shared" si="122"/>
        <v>Resources are periodically reviewed</v>
      </c>
      <c r="CE91" t="str">
        <f t="shared" si="170"/>
        <v>Guidance</v>
      </c>
      <c r="CF91" t="str">
        <f t="shared" si="153"/>
        <v>4.1.4.GX</v>
      </c>
      <c r="CG91" t="str">
        <f>IF(AND(CC91&lt;&gt;"",LEFT(CC91,1)&lt;&gt;"#"),IF(LEFT(CC91,1)="-",REPLACE(CC91,1,1,tech!$H$2),CC91),"")</f>
        <v/>
      </c>
      <c r="CH91" t="s">
        <v>495</v>
      </c>
      <c r="CI91" s="492" t="s">
        <v>1342</v>
      </c>
      <c r="CJ91" t="str">
        <f t="shared" si="123"/>
        <v>Perform security awareness training</v>
      </c>
      <c r="CK91" t="str">
        <f t="shared" si="171"/>
        <v>Guidance</v>
      </c>
      <c r="CL91" t="str">
        <f t="shared" si="155"/>
        <v>4.2.3.GY</v>
      </c>
      <c r="CM91" t="str">
        <f>IF(AND(CI91&lt;&gt;"",LEFT(CI91,1)&lt;&gt;"#"),IF(LEFT(CI91,1)="-",REPLACE(CI91,1,1,tech!$H$2),CI91),"")</f>
        <v>• Posters and letters with the specific topic</v>
      </c>
      <c r="CN91" t="s">
        <v>495</v>
      </c>
      <c r="CO91" s="492" t="s">
        <v>1486</v>
      </c>
      <c r="CP91" t="str">
        <f t="shared" si="124"/>
        <v>Establish single point of contact</v>
      </c>
      <c r="CQ91" t="str">
        <f t="shared" si="172"/>
        <v>Assessment</v>
      </c>
      <c r="CR91" t="str">
        <f t="shared" si="157"/>
        <v>4.3.3.AY</v>
      </c>
      <c r="CS91" t="str">
        <f>IF(AND(CO91&lt;&gt;"",LEFT(CO91,1)&lt;&gt;"#"),IF(LEFT(CO91,1)="-",REPLACE(CO91,1,1,tech!$H$2),CO91),"")</f>
        <v>• Contact SPOC to ensure that it is available and responds in a timely manner</v>
      </c>
      <c r="CT91" t="s">
        <v>495</v>
      </c>
    </row>
    <row r="92" spans="3:98" x14ac:dyDescent="0.25">
      <c r="C92" s="492"/>
      <c r="D92" t="str">
        <f t="shared" si="173"/>
        <v>Optimized</v>
      </c>
      <c r="E92" t="str">
        <f t="shared" si="174"/>
        <v>Associated risks</v>
      </c>
      <c r="F92" t="str">
        <f>_xlfn.CONCAT(VLOOKUP(D92,tech!$A$13:$B$17,2,0),LEFT(E92,1),IF(G92="","X","Y"))</f>
        <v>5AX</v>
      </c>
      <c r="G92" t="str">
        <f>IF(IF(LEFT(C92,1)="-",C92,"")="","",REPLACE(IF(LEFT(C92,1)="-",C92,""),1,1,tech!$H$2))</f>
        <v/>
      </c>
      <c r="H92" t="s">
        <v>495</v>
      </c>
      <c r="I92" s="492" t="s">
        <v>537</v>
      </c>
      <c r="J92" t="str">
        <f t="shared" si="127"/>
        <v>Architecture and design of the PKI</v>
      </c>
      <c r="K92" t="str">
        <f t="shared" si="158"/>
        <v>Guidance</v>
      </c>
      <c r="L92" t="str">
        <f t="shared" si="129"/>
        <v>1.1.4.GY</v>
      </c>
      <c r="M92" t="str">
        <f>IF(AND(I92&lt;&gt;"",LEFT(I92,1)&lt;&gt;"#"),IF(LEFT(I92,1)="-",REPLACE(I92,1,1,tech!$H$2),I92),"")</f>
        <v>• Staging and testing</v>
      </c>
      <c r="N92" t="s">
        <v>495</v>
      </c>
      <c r="O92" s="492" t="s">
        <v>582</v>
      </c>
      <c r="P92" t="str">
        <f t="shared" si="111"/>
        <v>Certification practice statement is documented and published</v>
      </c>
      <c r="Q92" t="str">
        <f t="shared" si="159"/>
        <v>Assessment</v>
      </c>
      <c r="R92" t="str">
        <f t="shared" si="131"/>
        <v>1.2.3.AY</v>
      </c>
      <c r="S92" t="str">
        <f>IF(AND(O92&lt;&gt;"",LEFT(O92,1)&lt;&gt;"#"),IF(LEFT(O92,1)="-",REPLACE(O92,1,1,tech!$H$2),O92),"")</f>
        <v>• CPS is published and available to all parties involved</v>
      </c>
      <c r="T92" t="s">
        <v>495</v>
      </c>
      <c r="U92" s="492"/>
      <c r="V92" t="str">
        <f t="shared" si="112"/>
        <v>List of relevant laws, regulations, and standards, exist and is maintained</v>
      </c>
      <c r="W92" t="str">
        <f t="shared" si="160"/>
        <v>Guidance</v>
      </c>
      <c r="X92" t="str">
        <f t="shared" si="133"/>
        <v>1.3.4.GY</v>
      </c>
      <c r="Y92" t="str">
        <f>IF(AND(U92&lt;&gt;"",LEFT(U92,1)&lt;&gt;"#"),IF(LEFT(U92,1)="-",REPLACE(U92,1,1,tech!$H$2),U92),"")</f>
        <v/>
      </c>
      <c r="Z92" t="s">
        <v>495</v>
      </c>
      <c r="AA92" s="492"/>
      <c r="AB92" t="str">
        <f t="shared" si="113"/>
        <v>Evidence from procedures is collected and maintained</v>
      </c>
      <c r="AC92" t="str">
        <f t="shared" si="161"/>
        <v>Guidance</v>
      </c>
      <c r="AD92" t="str">
        <f t="shared" si="135"/>
        <v>1.4.4.GX</v>
      </c>
      <c r="AE92" t="str">
        <f>IF(AND(AA92&lt;&gt;"",LEFT(AA92,1)&lt;&gt;"#"),IF(LEFT(AA92,1)="-",REPLACE(AA92,1,1,tech!$H$2),AA92),"")</f>
        <v/>
      </c>
      <c r="AF92" t="s">
        <v>495</v>
      </c>
      <c r="AG92" s="492"/>
      <c r="AH92" t="str">
        <f t="shared" si="114"/>
        <v>Inventory of cryptographic devices is documented and maintained</v>
      </c>
      <c r="AI92" t="str">
        <f t="shared" si="162"/>
        <v>References</v>
      </c>
      <c r="AJ92" t="str">
        <f t="shared" si="137"/>
        <v>2.1.3.RX</v>
      </c>
      <c r="AK92" t="str">
        <f>IF(AND(AG92&lt;&gt;"",LEFT(AG92,1)&lt;&gt;"#"),IF(LEFT(AG92,1)="-",REPLACE(AG92,1,1,tech!$H$2),AG92),"")</f>
        <v/>
      </c>
      <c r="AL92" t="s">
        <v>495</v>
      </c>
      <c r="AM92" s="492"/>
      <c r="AN92" t="str">
        <f t="shared" si="115"/>
        <v>Certificate lifecycle management is documented</v>
      </c>
      <c r="AO92" t="str">
        <f t="shared" si="163"/>
        <v>Assessment</v>
      </c>
      <c r="AP92" t="str">
        <f t="shared" si="139"/>
        <v>2.2.3.AX</v>
      </c>
      <c r="AQ92" t="str">
        <f>IF(AND(AM92&lt;&gt;"",LEFT(AM92,1)&lt;&gt;"#"),IF(LEFT(AM92,1)="-",REPLACE(AM92,1,1,tech!$H$2),AM92),"")</f>
        <v/>
      </c>
      <c r="AR92" t="s">
        <v>495</v>
      </c>
      <c r="AS92" s="492" t="s">
        <v>937</v>
      </c>
      <c r="AT92" t="str">
        <f t="shared" si="116"/>
        <v>Network vulnerability management is implemented and maintained</v>
      </c>
      <c r="AU92" t="str">
        <f t="shared" si="164"/>
        <v>Assessment</v>
      </c>
      <c r="AV92" t="str">
        <f t="shared" si="141"/>
        <v>2.3.3.AY</v>
      </c>
      <c r="AW92" t="str">
        <f>IF(AND(AS92&lt;&gt;"",LEFT(AS92,1)&lt;&gt;"#"),IF(LEFT(AS92,1)="-",REPLACE(AS92,1,1,tech!$H$2),AS92),"")</f>
        <v>• network vulnerability management process</v>
      </c>
      <c r="AX92" t="s">
        <v>495</v>
      </c>
      <c r="AY92" s="492" t="s">
        <v>502</v>
      </c>
      <c r="AZ92" t="str">
        <f t="shared" si="117"/>
        <v>The change management process is documented and implemented</v>
      </c>
      <c r="BA92" t="str">
        <f t="shared" si="165"/>
        <v>Assessment</v>
      </c>
      <c r="BB92" t="str">
        <f t="shared" si="143"/>
        <v>2.4.3.AY</v>
      </c>
      <c r="BC92" t="str">
        <f>IF(AND(AY92&lt;&gt;"",LEFT(AY92,1)&lt;&gt;"#"),IF(LEFT(AY92,1)="-",REPLACE(AY92,1,1,tech!$H$2),AY92),"")</f>
        <v>The following is sample evidence that can be used to assess the requirement:</v>
      </c>
      <c r="BD92" t="s">
        <v>495</v>
      </c>
      <c r="BE92" s="492" t="s">
        <v>1068</v>
      </c>
      <c r="BF92" t="str">
        <f t="shared" si="118"/>
        <v>Business continuity planning and disaster recovery</v>
      </c>
      <c r="BG92" t="str">
        <f t="shared" si="166"/>
        <v>Assessment</v>
      </c>
      <c r="BH92" t="str">
        <f t="shared" si="145"/>
        <v>3.1.3.AY</v>
      </c>
      <c r="BI92" t="str">
        <f>IF(AND(BE92&lt;&gt;"",LEFT(BE92,1)&lt;&gt;"#"),IF(LEFT(BE92,1)="-",REPLACE(BE92,1,1,tech!$H$2),BE92),"")</f>
        <v>• Communication matrix and contact information</v>
      </c>
      <c r="BJ92" t="s">
        <v>495</v>
      </c>
      <c r="BK92" s="492" t="s">
        <v>1105</v>
      </c>
      <c r="BL92" t="str">
        <f t="shared" si="119"/>
        <v>Adoption and application of open standards</v>
      </c>
      <c r="BM92" t="str">
        <f t="shared" si="167"/>
        <v>References</v>
      </c>
      <c r="BN92" t="str">
        <f t="shared" si="147"/>
        <v>3.2.3.RY</v>
      </c>
      <c r="BO92" t="str">
        <f>IF(AND(BK92&lt;&gt;"",LEFT(BK92,1)&lt;&gt;"#"),IF(LEFT(BK92,1)="-",REPLACE(BK92,1,1,tech!$H$2),BK92),"")</f>
        <v>• [OASIS Standards](https://www.oasis-open.org/standards)</v>
      </c>
      <c r="BP92" t="s">
        <v>495</v>
      </c>
      <c r="BQ92" s="492" t="s">
        <v>1158</v>
      </c>
      <c r="BR92" t="str">
        <f t="shared" si="120"/>
        <v>Audit trail can be reconstructed from audit logs</v>
      </c>
      <c r="BS92" t="str">
        <f t="shared" si="168"/>
        <v>Guidance</v>
      </c>
      <c r="BT92" t="str">
        <f t="shared" si="149"/>
        <v>3.3.3.GY</v>
      </c>
      <c r="BU92" t="str">
        <f>IF(AND(BQ92&lt;&gt;"",LEFT(BQ92,1)&lt;&gt;"#"),IF(LEFT(BQ92,1)="-",REPLACE(BQ92,1,1,tech!$H$2),BQ92),"")</f>
        <v>• Initialization, stopping, or pausing of the audit logs</v>
      </c>
      <c r="BV92" t="s">
        <v>495</v>
      </c>
      <c r="BW92" s="492"/>
      <c r="BX92" t="str">
        <f t="shared" si="121"/>
        <v>Incidents and exceptions handling</v>
      </c>
      <c r="BY92" t="str">
        <f t="shared" si="169"/>
        <v>References</v>
      </c>
      <c r="BZ92" t="str">
        <f t="shared" si="151"/>
        <v>3.4.3.RX</v>
      </c>
      <c r="CA92" t="str">
        <f>IF(AND(BW92&lt;&gt;"",LEFT(BW92,1)&lt;&gt;"#"),IF(LEFT(BW92,1)="-",REPLACE(BW92,1,1,tech!$H$2),BW92),"")</f>
        <v/>
      </c>
      <c r="CB92" t="s">
        <v>495</v>
      </c>
      <c r="CC92" s="492" t="s">
        <v>501</v>
      </c>
      <c r="CD92" t="str">
        <f t="shared" si="122"/>
        <v>Resources are periodically reviewed</v>
      </c>
      <c r="CE92" t="str">
        <f t="shared" si="170"/>
        <v>Assessment</v>
      </c>
      <c r="CF92" t="str">
        <f t="shared" si="153"/>
        <v>4.1.4.AX</v>
      </c>
      <c r="CG92" t="str">
        <f>IF(AND(CC92&lt;&gt;"",LEFT(CC92,1)&lt;&gt;"#"),IF(LEFT(CC92,1)="-",REPLACE(CC92,1,1,tech!$H$2),CC92),"")</f>
        <v/>
      </c>
      <c r="CH92" t="s">
        <v>495</v>
      </c>
      <c r="CI92" s="492" t="s">
        <v>1343</v>
      </c>
      <c r="CJ92" t="str">
        <f t="shared" si="123"/>
        <v>Perform security awareness training</v>
      </c>
      <c r="CK92" t="str">
        <f t="shared" si="171"/>
        <v>Guidance</v>
      </c>
      <c r="CL92" t="str">
        <f t="shared" si="155"/>
        <v>4.2.3.GY</v>
      </c>
      <c r="CM92" t="str">
        <f>IF(AND(CI92&lt;&gt;"",LEFT(CI92,1)&lt;&gt;"#"),IF(LEFT(CI92,1)="-",REPLACE(CI92,1,1,tech!$H$2),CI92),"")</f>
        <v>• team meetings and webinars</v>
      </c>
      <c r="CN92" t="s">
        <v>495</v>
      </c>
      <c r="CO92" s="492" t="s">
        <v>1397</v>
      </c>
      <c r="CP92" t="str">
        <f t="shared" si="124"/>
        <v>Establish single point of contact</v>
      </c>
      <c r="CQ92" t="str">
        <f t="shared" si="172"/>
        <v>Assessment</v>
      </c>
      <c r="CR92" t="str">
        <f t="shared" si="157"/>
        <v>4.3.3.AY</v>
      </c>
      <c r="CS92" t="str">
        <f>IF(AND(CO92&lt;&gt;"",LEFT(CO92,1)&lt;&gt;"#"),IF(LEFT(CO92,1)="-",REPLACE(CO92,1,1,tech!$H$2),CO92),"")</f>
        <v>• Review that the SPOC communicates according to the awareness plan</v>
      </c>
      <c r="CT92" t="s">
        <v>495</v>
      </c>
    </row>
    <row r="93" spans="3:98" x14ac:dyDescent="0.25">
      <c r="C93" s="492"/>
      <c r="D93" t="str">
        <f t="shared" si="173"/>
        <v>Optimized</v>
      </c>
      <c r="E93" t="str">
        <f t="shared" si="174"/>
        <v>Associated risks</v>
      </c>
      <c r="F93" t="str">
        <f>_xlfn.CONCAT(VLOOKUP(D93,tech!$A$13:$B$17,2,0),LEFT(E93,1),IF(G93="","X","Y"))</f>
        <v>5AX</v>
      </c>
      <c r="G93" t="str">
        <f>IF(IF(LEFT(C93,1)="-",C93,"")="","",REPLACE(IF(LEFT(C93,1)="-",C93,""),1,1,tech!$H$2))</f>
        <v/>
      </c>
      <c r="H93" t="s">
        <v>495</v>
      </c>
      <c r="I93" s="492"/>
      <c r="J93" t="str">
        <f t="shared" si="127"/>
        <v>Architecture and design of the PKI</v>
      </c>
      <c r="K93" t="str">
        <f t="shared" si="158"/>
        <v>Guidance</v>
      </c>
      <c r="L93" t="str">
        <f t="shared" si="129"/>
        <v>1.1.4.GY</v>
      </c>
      <c r="M93" t="str">
        <f>IF(AND(I93&lt;&gt;"",LEFT(I93,1)&lt;&gt;"#"),IF(LEFT(I93,1)="-",REPLACE(I93,1,1,tech!$H$2),I93),"")</f>
        <v/>
      </c>
      <c r="N93" t="s">
        <v>495</v>
      </c>
      <c r="O93" s="492" t="s">
        <v>583</v>
      </c>
      <c r="P93" t="str">
        <f t="shared" si="111"/>
        <v>Certification practice statement is documented and published</v>
      </c>
      <c r="Q93" t="str">
        <f t="shared" si="159"/>
        <v>Assessment</v>
      </c>
      <c r="R93" t="str">
        <f t="shared" si="131"/>
        <v>1.2.3.AY</v>
      </c>
      <c r="S93" t="str">
        <f>IF(AND(O93&lt;&gt;"",LEFT(O93,1)&lt;&gt;"#"),IF(LEFT(O93,1)="-",REPLACE(O93,1,1,tech!$H$2),O93),"")</f>
        <v>• Interview with the management and PKI responsible personnel to confirm the CPS is accurate and followed</v>
      </c>
      <c r="T93" t="s">
        <v>495</v>
      </c>
      <c r="U93" s="492" t="s">
        <v>641</v>
      </c>
      <c r="V93" t="str">
        <f t="shared" si="112"/>
        <v>List of relevant laws, regulations, and standards, exist and is maintained</v>
      </c>
      <c r="W93" t="str">
        <f t="shared" si="160"/>
        <v>Guidance</v>
      </c>
      <c r="X93" t="str">
        <f t="shared" si="133"/>
        <v>1.3.4.GY</v>
      </c>
      <c r="Y93" t="str">
        <f>IF(AND(U93&lt;&gt;"",LEFT(U93,1)&lt;&gt;"#"),IF(LEFT(U93,1)="-",REPLACE(U93,1,1,tech!$H$2),U93),"")</f>
        <v>Regulations are derived from laws and are often meant to supplement and clarify the broader provisions outlined in the laws.  Compliance with regulations is mandatory and non-compliance can result in penalties or other legal consequences.</v>
      </c>
      <c r="Z93" t="s">
        <v>495</v>
      </c>
      <c r="AA93" s="492" t="s">
        <v>501</v>
      </c>
      <c r="AB93" t="str">
        <f t="shared" si="113"/>
        <v>Evidence from procedures is collected and maintained</v>
      </c>
      <c r="AC93" t="str">
        <f t="shared" si="161"/>
        <v>Assessment</v>
      </c>
      <c r="AD93" t="str">
        <f t="shared" si="135"/>
        <v>1.4.4.AX</v>
      </c>
      <c r="AE93" t="str">
        <f>IF(AND(AA93&lt;&gt;"",LEFT(AA93,1)&lt;&gt;"#"),IF(LEFT(AA93,1)="-",REPLACE(AA93,1,1,tech!$H$2),AA93),"")</f>
        <v/>
      </c>
      <c r="AF93" t="s">
        <v>495</v>
      </c>
      <c r="AG93" s="492" t="s">
        <v>714</v>
      </c>
      <c r="AH93" t="str">
        <f t="shared" si="114"/>
        <v>Inventory of cryptographic devices is documented and maintained</v>
      </c>
      <c r="AI93" t="str">
        <f t="shared" si="162"/>
        <v>References</v>
      </c>
      <c r="AJ93" t="str">
        <f t="shared" si="137"/>
        <v>2.1.3.RY</v>
      </c>
      <c r="AK93" t="str">
        <f>IF(AND(AG93&lt;&gt;"",LEFT(AG93,1)&lt;&gt;"#"),IF(LEFT(AG93,1)="-",REPLACE(AG93,1,1,tech!$H$2),AG93),"")</f>
        <v>• [NIST SP 800-57 Recommendation for Key Management](https://csrc.nist.gov/projects/key-management/key-management-guidelines)</v>
      </c>
      <c r="AL93" t="s">
        <v>495</v>
      </c>
      <c r="AM93" s="492" t="s">
        <v>824</v>
      </c>
      <c r="AN93" t="str">
        <f t="shared" si="115"/>
        <v>Certificate lifecycle management is documented</v>
      </c>
      <c r="AO93" t="str">
        <f t="shared" si="163"/>
        <v>Assessment</v>
      </c>
      <c r="AP93" t="str">
        <f t="shared" si="139"/>
        <v>2.2.3.AY</v>
      </c>
      <c r="AQ93" t="str">
        <f>IF(AND(AM93&lt;&gt;"",LEFT(AM93,1)&lt;&gt;"#"),IF(LEFT(AM93,1)="-",REPLACE(AM93,1,1,tech!$H$2),AM93),"")</f>
        <v>* Documented application and validation rules</v>
      </c>
      <c r="AR93" t="s">
        <v>495</v>
      </c>
      <c r="AS93" s="492" t="s">
        <v>938</v>
      </c>
      <c r="AT93" t="str">
        <f t="shared" si="116"/>
        <v>Network vulnerability management is implemented and maintained</v>
      </c>
      <c r="AU93" t="str">
        <f t="shared" si="164"/>
        <v>Assessment</v>
      </c>
      <c r="AV93" t="str">
        <f t="shared" si="141"/>
        <v>2.3.3.AY</v>
      </c>
      <c r="AW93" t="str">
        <f>IF(AND(AS93&lt;&gt;"",LEFT(AS93,1)&lt;&gt;"#"),IF(LEFT(AS93,1)="-",REPLACE(AS93,1,1,tech!$H$2),AS93),"")</f>
        <v>• Results from last network vulnerability scan</v>
      </c>
      <c r="AX93" t="s">
        <v>495</v>
      </c>
      <c r="AY93" s="492" t="s">
        <v>1002</v>
      </c>
      <c r="AZ93" t="str">
        <f t="shared" si="117"/>
        <v>The change management process is documented and implemented</v>
      </c>
      <c r="BA93" t="str">
        <f t="shared" si="165"/>
        <v>Assessment</v>
      </c>
      <c r="BB93" t="str">
        <f t="shared" si="143"/>
        <v>2.4.3.AY</v>
      </c>
      <c r="BC93" t="str">
        <f>IF(AND(AY93&lt;&gt;"",LEFT(AY93,1)&lt;&gt;"#"),IF(LEFT(AY93,1)="-",REPLACE(AY93,1,1,tech!$H$2),AY93),"")</f>
        <v>• Documented change management process</v>
      </c>
      <c r="BD93" t="s">
        <v>495</v>
      </c>
      <c r="BE93" s="492" t="s">
        <v>1069</v>
      </c>
      <c r="BF93" t="str">
        <f t="shared" si="118"/>
        <v>Business continuity planning and disaster recovery</v>
      </c>
      <c r="BG93" t="str">
        <f t="shared" si="166"/>
        <v>Assessment</v>
      </c>
      <c r="BH93" t="str">
        <f t="shared" si="145"/>
        <v>3.1.3.AY</v>
      </c>
      <c r="BI93" t="str">
        <f>IF(AND(BE93&lt;&gt;"",LEFT(BE93,1)&lt;&gt;"#"),IF(LEFT(BE93,1)="-",REPLACE(BE93,1,1,tech!$H$2),BE93),"")</f>
        <v>• Availability of backups and other requirements to execute the disaster recovery Procedure</v>
      </c>
      <c r="BJ93" t="s">
        <v>495</v>
      </c>
      <c r="BK93" s="492" t="s">
        <v>1106</v>
      </c>
      <c r="BL93" t="str">
        <f t="shared" si="119"/>
        <v>Adoption and application of open standards</v>
      </c>
      <c r="BM93" t="str">
        <f t="shared" si="167"/>
        <v>References</v>
      </c>
      <c r="BN93" t="str">
        <f t="shared" si="147"/>
        <v>3.2.3.RY</v>
      </c>
      <c r="BO93" t="str">
        <f>IF(AND(BK93&lt;&gt;"",LEFT(BK93,1)&lt;&gt;"#"),IF(LEFT(BK93,1)="-",REPLACE(BK93,1,1,tech!$H$2),BK93),"")</f>
        <v>• [ISO Standards](https://www.iso.org/standards.html)</v>
      </c>
      <c r="BP93" t="s">
        <v>495</v>
      </c>
      <c r="BQ93" s="492" t="s">
        <v>1196</v>
      </c>
      <c r="BR93" t="str">
        <f t="shared" si="120"/>
        <v>Audit trail can be reconstructed from audit logs</v>
      </c>
      <c r="BS93" t="str">
        <f t="shared" si="168"/>
        <v>Guidance</v>
      </c>
      <c r="BT93" t="str">
        <f t="shared" si="149"/>
        <v>3.3.3.GY</v>
      </c>
      <c r="BU93" t="str">
        <f>IF(AND(BQ93&lt;&gt;"",LEFT(BQ93,1)&lt;&gt;"#"),IF(LEFT(BQ93,1)="-",REPLACE(BQ93,1,1,tech!$H$2),BQ93),"")</f>
        <v>• creation and deletion of system-level objects</v>
      </c>
      <c r="BV93" t="s">
        <v>495</v>
      </c>
      <c r="BW93" s="492" t="s">
        <v>55</v>
      </c>
      <c r="BX93" t="str">
        <f t="shared" si="121"/>
        <v>Incidents and exceptions handling</v>
      </c>
      <c r="BY93" t="str">
        <f t="shared" si="169"/>
        <v>References</v>
      </c>
      <c r="BZ93" t="str">
        <f t="shared" si="151"/>
        <v>3.4.3.RY</v>
      </c>
      <c r="CA93" t="str">
        <f>IF(AND(BW93&lt;&gt;"",LEFT(BW93,1)&lt;&gt;"#"),IF(LEFT(BW93,1)="-",REPLACE(BW93,1,1,tech!$H$2),BW93),"")</f>
        <v>N/A</v>
      </c>
      <c r="CB93" t="s">
        <v>495</v>
      </c>
      <c r="CC93" s="492"/>
      <c r="CD93" t="str">
        <f t="shared" si="122"/>
        <v>Resources are periodically reviewed</v>
      </c>
      <c r="CE93" t="str">
        <f t="shared" si="170"/>
        <v>Assessment</v>
      </c>
      <c r="CF93" t="str">
        <f t="shared" si="153"/>
        <v>4.1.4.AX</v>
      </c>
      <c r="CG93" t="str">
        <f>IF(AND(CC93&lt;&gt;"",LEFT(CC93,1)&lt;&gt;"#"),IF(LEFT(CC93,1)="-",REPLACE(CC93,1,1,tech!$H$2),CC93),"")</f>
        <v/>
      </c>
      <c r="CH93" t="s">
        <v>495</v>
      </c>
      <c r="CI93" s="492" t="s">
        <v>1344</v>
      </c>
      <c r="CJ93" t="str">
        <f t="shared" si="123"/>
        <v>Perform security awareness training</v>
      </c>
      <c r="CK93" t="str">
        <f t="shared" si="171"/>
        <v>Guidance</v>
      </c>
      <c r="CL93" t="str">
        <f t="shared" si="155"/>
        <v>4.2.3.GY</v>
      </c>
      <c r="CM93" t="str">
        <f>IF(AND(CI93&lt;&gt;"",LEFT(CI93,1)&lt;&gt;"#"),IF(LEFT(CI93,1)="-",REPLACE(CI93,1,1,tech!$H$2),CI93),"")</f>
        <v>• Security incentives and rewards</v>
      </c>
      <c r="CN93" t="s">
        <v>495</v>
      </c>
      <c r="CO93" s="492" t="s">
        <v>1398</v>
      </c>
      <c r="CP93" t="str">
        <f t="shared" si="124"/>
        <v>Establish single point of contact</v>
      </c>
      <c r="CQ93" t="str">
        <f t="shared" si="172"/>
        <v>Assessment</v>
      </c>
      <c r="CR93" t="str">
        <f t="shared" si="157"/>
        <v>4.3.3.AY</v>
      </c>
      <c r="CS93" t="str">
        <f>IF(AND(CO93&lt;&gt;"",LEFT(CO93,1)&lt;&gt;"#"),IF(LEFT(CO93,1)="-",REPLACE(CO93,1,1,tech!$H$2),CO93),"")</f>
        <v>• Review that the SPOC is able to provide relevant information and trigger appropriate procedures if needed based on the situation</v>
      </c>
      <c r="CT93" t="s">
        <v>495</v>
      </c>
    </row>
    <row r="94" spans="3:98" x14ac:dyDescent="0.25">
      <c r="C94" s="492"/>
      <c r="D94" t="str">
        <f t="shared" si="173"/>
        <v>Optimized</v>
      </c>
      <c r="E94" t="str">
        <f t="shared" si="174"/>
        <v>Associated risks</v>
      </c>
      <c r="F94" t="str">
        <f>_xlfn.CONCAT(VLOOKUP(D94,tech!$A$13:$B$17,2,0),LEFT(E94,1),IF(G94="","X","Y"))</f>
        <v>5AX</v>
      </c>
      <c r="G94" t="str">
        <f>IF(IF(LEFT(C94,1)="-",C94,"")="","",REPLACE(IF(LEFT(C94,1)="-",C94,""),1,1,tech!$H$2))</f>
        <v/>
      </c>
      <c r="H94" t="s">
        <v>495</v>
      </c>
      <c r="I94" s="492" t="s">
        <v>518</v>
      </c>
      <c r="J94" t="str">
        <f t="shared" si="127"/>
        <v>Architecture and design of the PKI</v>
      </c>
      <c r="K94" t="str">
        <f t="shared" si="158"/>
        <v>Guidance</v>
      </c>
      <c r="L94" t="str">
        <f t="shared" si="129"/>
        <v>1.1.4.GY</v>
      </c>
      <c r="M94" t="str">
        <f>IF(AND(I94&lt;&gt;"",LEFT(I94,1)&lt;&gt;"#"),IF(LEFT(I94,1)="-",REPLACE(I94,1,1,tech!$H$2),I94),"")</f>
        <v>The architecture and design are further used for the implementation of the PKI and serves as an input for the PKI team. It can be also used for the procurement of the PKI components and services that are needed for the implementation.</v>
      </c>
      <c r="N94" t="s">
        <v>495</v>
      </c>
      <c r="O94" s="492" t="s">
        <v>584</v>
      </c>
      <c r="P94" t="str">
        <f t="shared" si="111"/>
        <v>Certification practice statement is documented and published</v>
      </c>
      <c r="Q94" t="str">
        <f t="shared" si="159"/>
        <v>Assessment</v>
      </c>
      <c r="R94" t="str">
        <f t="shared" si="131"/>
        <v>1.2.3.AY</v>
      </c>
      <c r="S94" t="str">
        <f>IF(AND(O94&lt;&gt;"",LEFT(O94,1)&lt;&gt;"#"),IF(LEFT(O94,1)="-",REPLACE(O94,1,1,tech!$H$2),O94),"")</f>
        <v>• confirm that the information in the CPS is Consistent with the information in the CP</v>
      </c>
      <c r="T94" t="s">
        <v>495</v>
      </c>
      <c r="U94" s="492"/>
      <c r="V94" t="str">
        <f t="shared" si="112"/>
        <v>List of relevant laws, regulations, and standards, exist and is maintained</v>
      </c>
      <c r="W94" t="str">
        <f t="shared" si="160"/>
        <v>Guidance</v>
      </c>
      <c r="X94" t="str">
        <f t="shared" si="133"/>
        <v>1.3.4.GY</v>
      </c>
      <c r="Y94" t="str">
        <f>IF(AND(U94&lt;&gt;"",LEFT(U94,1)&lt;&gt;"#"),IF(LEFT(U94,1)="-",REPLACE(U94,1,1,tech!$H$2),U94),"")</f>
        <v/>
      </c>
      <c r="Z94" t="s">
        <v>495</v>
      </c>
      <c r="AA94" s="492"/>
      <c r="AB94" t="str">
        <f t="shared" si="113"/>
        <v>Evidence from procedures is collected and maintained</v>
      </c>
      <c r="AC94" t="str">
        <f t="shared" si="161"/>
        <v>Assessment</v>
      </c>
      <c r="AD94" t="str">
        <f t="shared" si="135"/>
        <v>1.4.4.AX</v>
      </c>
      <c r="AE94" t="str">
        <f>IF(AND(AA94&lt;&gt;"",LEFT(AA94,1)&lt;&gt;"#"),IF(LEFT(AA94,1)="-",REPLACE(AA94,1,1,tech!$H$2),AA94),"")</f>
        <v/>
      </c>
      <c r="AF94" t="s">
        <v>495</v>
      </c>
      <c r="AG94" s="492" t="s">
        <v>715</v>
      </c>
      <c r="AH94" t="str">
        <f t="shared" si="114"/>
        <v>Inventory of cryptographic devices is documented and maintained</v>
      </c>
      <c r="AI94" t="str">
        <f t="shared" si="162"/>
        <v>References</v>
      </c>
      <c r="AJ94" t="str">
        <f t="shared" si="137"/>
        <v>2.1.3.RY</v>
      </c>
      <c r="AK94" t="str">
        <f>IF(AND(AG94&lt;&gt;"",LEFT(AG94,1)&lt;&gt;"#"),IF(LEFT(AG94,1)="-",REPLACE(AG94,1,1,tech!$H$2),AG94),"")</f>
        <v>• [ISO/IEC 11770 Key Management](https://www.iso.org/standard/53456.html)</v>
      </c>
      <c r="AL94" t="s">
        <v>495</v>
      </c>
      <c r="AM94" s="492" t="s">
        <v>825</v>
      </c>
      <c r="AN94" t="str">
        <f t="shared" si="115"/>
        <v>Certificate lifecycle management is documented</v>
      </c>
      <c r="AO94" t="str">
        <f t="shared" si="163"/>
        <v>Assessment</v>
      </c>
      <c r="AP94" t="str">
        <f t="shared" si="139"/>
        <v>2.2.3.AY</v>
      </c>
      <c r="AQ94" t="str">
        <f>IF(AND(AM94&lt;&gt;"",LEFT(AM94,1)&lt;&gt;"#"),IF(LEFT(AM94,1)="-",REPLACE(AM94,1,1,tech!$H$2),AM94),"")</f>
        <v>* Documented process for issuing certificates</v>
      </c>
      <c r="AR94" t="s">
        <v>495</v>
      </c>
      <c r="AS94" s="492" t="s">
        <v>939</v>
      </c>
      <c r="AT94" t="str">
        <f t="shared" si="116"/>
        <v>Network vulnerability management is implemented and maintained</v>
      </c>
      <c r="AU94" t="str">
        <f t="shared" si="164"/>
        <v>Assessment</v>
      </c>
      <c r="AV94" t="str">
        <f t="shared" si="141"/>
        <v>2.3.3.AY</v>
      </c>
      <c r="AW94" t="str">
        <f>IF(AND(AS94&lt;&gt;"",LEFT(AS94,1)&lt;&gt;"#"),IF(LEFT(AS94,1)="-",REPLACE(AS94,1,1,tech!$H$2),AS94),"")</f>
        <v>• remediation plan</v>
      </c>
      <c r="AX94" t="s">
        <v>495</v>
      </c>
      <c r="AY94" s="492" t="s">
        <v>1000</v>
      </c>
      <c r="AZ94" t="str">
        <f t="shared" si="117"/>
        <v>The change management process is documented and implemented</v>
      </c>
      <c r="BA94" t="str">
        <f t="shared" si="165"/>
        <v>Assessment</v>
      </c>
      <c r="BB94" t="str">
        <f t="shared" si="143"/>
        <v>2.4.3.AY</v>
      </c>
      <c r="BC94" t="str">
        <f>IF(AND(AY94&lt;&gt;"",LEFT(AY94,1)&lt;&gt;"#"),IF(LEFT(AY94,1)="-",REPLACE(AY94,1,1,tech!$H$2),AY94),"")</f>
        <v>• Sample of change request</v>
      </c>
      <c r="BD94" t="s">
        <v>495</v>
      </c>
      <c r="BE94" s="492" t="s">
        <v>1070</v>
      </c>
      <c r="BF94" t="str">
        <f t="shared" si="118"/>
        <v>Business continuity planning and disaster recovery</v>
      </c>
      <c r="BG94" t="str">
        <f t="shared" si="166"/>
        <v>Assessment</v>
      </c>
      <c r="BH94" t="str">
        <f t="shared" si="145"/>
        <v>3.1.3.AY</v>
      </c>
      <c r="BI94" t="str">
        <f>IF(AND(BE94&lt;&gt;"",LEFT(BE94,1)&lt;&gt;"#"),IF(LEFT(BE94,1)="-",REPLACE(BE94,1,1,tech!$H$2),BE94),"")</f>
        <v>• Periodically tested effectiveness of the disaster recovery</v>
      </c>
      <c r="BJ94" t="s">
        <v>495</v>
      </c>
      <c r="BK94" s="492" t="s">
        <v>1107</v>
      </c>
      <c r="BL94" t="str">
        <f t="shared" si="119"/>
        <v>Adoption and application of open standards</v>
      </c>
      <c r="BM94" t="str">
        <f t="shared" si="167"/>
        <v>References</v>
      </c>
      <c r="BN94" t="str">
        <f t="shared" si="147"/>
        <v>3.2.3.RY</v>
      </c>
      <c r="BO94" t="str">
        <f>IF(AND(BK94&lt;&gt;"",LEFT(BK94,1)&lt;&gt;"#"),IF(LEFT(BK94,1)="-",REPLACE(BK94,1,1,tech!$H$2),BK94),"")</f>
        <v>• [ITU Standards](https://www.itu.int/en/ITU-T/standardization/)</v>
      </c>
      <c r="BP94" t="s">
        <v>495</v>
      </c>
      <c r="BQ94" s="492"/>
      <c r="BR94" t="str">
        <f t="shared" si="120"/>
        <v>Audit trail can be reconstructed from audit logs</v>
      </c>
      <c r="BS94" t="str">
        <f t="shared" si="168"/>
        <v>Guidance</v>
      </c>
      <c r="BT94" t="str">
        <f t="shared" si="149"/>
        <v>3.3.3.GX</v>
      </c>
      <c r="BU94" t="str">
        <f>IF(AND(BQ94&lt;&gt;"",LEFT(BQ94,1)&lt;&gt;"#"),IF(LEFT(BQ94,1)="-",REPLACE(BQ94,1,1,tech!$H$2),BQ94),"")</f>
        <v/>
      </c>
      <c r="BV94" t="s">
        <v>495</v>
      </c>
      <c r="BW94" s="492"/>
      <c r="BX94" t="str">
        <f t="shared" si="121"/>
        <v>Incidents and exceptions handling</v>
      </c>
      <c r="BY94" t="str">
        <f t="shared" si="169"/>
        <v>References</v>
      </c>
      <c r="BZ94" t="str">
        <f t="shared" si="151"/>
        <v>3.4.3.RX</v>
      </c>
      <c r="CA94" t="str">
        <f>IF(AND(BW94&lt;&gt;"",LEFT(BW94,1)&lt;&gt;"#"),IF(LEFT(BW94,1)="-",REPLACE(BW94,1,1,tech!$H$2),BW94),"")</f>
        <v/>
      </c>
      <c r="CB94" t="s">
        <v>495</v>
      </c>
      <c r="CC94" s="492" t="s">
        <v>1470</v>
      </c>
      <c r="CD94" t="str">
        <f t="shared" si="122"/>
        <v>Resources are periodically reviewed</v>
      </c>
      <c r="CE94" t="str">
        <f t="shared" si="170"/>
        <v>Assessment</v>
      </c>
      <c r="CF94" t="str">
        <f t="shared" si="153"/>
        <v>4.1.4.AY</v>
      </c>
      <c r="CG94" t="str">
        <f>IF(AND(CC94&lt;&gt;"",LEFT(CC94,1)&lt;&gt;"#"),IF(LEFT(CC94,1)="-",REPLACE(CC94,1,1,tech!$H$2),CC94),"")</f>
        <v>• Review of changes to the PKI scope</v>
      </c>
      <c r="CH94" t="s">
        <v>495</v>
      </c>
      <c r="CI94" s="492" t="s">
        <v>1345</v>
      </c>
      <c r="CJ94" t="str">
        <f t="shared" si="123"/>
        <v>Perform security awareness training</v>
      </c>
      <c r="CK94" t="str">
        <f t="shared" si="171"/>
        <v>Guidance</v>
      </c>
      <c r="CL94" t="str">
        <f t="shared" si="155"/>
        <v>4.2.3.GY</v>
      </c>
      <c r="CM94" t="str">
        <f>IF(AND(CI94&lt;&gt;"",LEFT(CI94,1)&lt;&gt;"#"),IF(LEFT(CI94,1)="-",REPLACE(CI94,1,1,tech!$H$2),CI94),"")</f>
        <v>• Training and education</v>
      </c>
      <c r="CN94" t="s">
        <v>495</v>
      </c>
      <c r="CO94" s="492"/>
      <c r="CP94" t="str">
        <f t="shared" si="124"/>
        <v>Establish single point of contact</v>
      </c>
      <c r="CQ94" t="str">
        <f t="shared" si="172"/>
        <v>Assessment</v>
      </c>
      <c r="CR94" t="str">
        <f t="shared" si="157"/>
        <v>4.3.3.AX</v>
      </c>
      <c r="CS94" t="str">
        <f>IF(AND(CO94&lt;&gt;"",LEFT(CO94,1)&lt;&gt;"#"),IF(LEFT(CO94,1)="-",REPLACE(CO94,1,1,tech!$H$2),CO94),"")</f>
        <v/>
      </c>
      <c r="CT94" t="s">
        <v>495</v>
      </c>
    </row>
    <row r="95" spans="3:98" x14ac:dyDescent="0.25">
      <c r="C95" s="492"/>
      <c r="D95" t="str">
        <f t="shared" si="173"/>
        <v>Optimized</v>
      </c>
      <c r="E95" t="str">
        <f t="shared" si="174"/>
        <v>Associated risks</v>
      </c>
      <c r="F95" t="str">
        <f>_xlfn.CONCAT(VLOOKUP(D95,tech!$A$13:$B$17,2,0),LEFT(E95,1),IF(G95="","X","Y"))</f>
        <v>5AX</v>
      </c>
      <c r="G95" t="str">
        <f>IF(IF(LEFT(C95,1)="-",C95,"")="","",REPLACE(IF(LEFT(C95,1)="-",C95,""),1,1,tech!$H$2))</f>
        <v/>
      </c>
      <c r="H95" t="s">
        <v>495</v>
      </c>
      <c r="I95" s="492"/>
      <c r="J95" t="str">
        <f t="shared" si="127"/>
        <v>Architecture and design of the PKI</v>
      </c>
      <c r="K95" t="str">
        <f t="shared" si="158"/>
        <v>Guidance</v>
      </c>
      <c r="L95" t="str">
        <f t="shared" si="129"/>
        <v>1.1.4.GX</v>
      </c>
      <c r="M95" t="str">
        <f>IF(AND(I95&lt;&gt;"",LEFT(I95,1)&lt;&gt;"#"),IF(LEFT(I95,1)="-",REPLACE(I95,1,1,tech!$H$2),I95),"")</f>
        <v/>
      </c>
      <c r="N95" t="s">
        <v>495</v>
      </c>
      <c r="O95" s="492"/>
      <c r="P95" t="str">
        <f t="shared" si="111"/>
        <v>Certification practice statement is documented and published</v>
      </c>
      <c r="Q95" t="str">
        <f t="shared" si="159"/>
        <v>Assessment</v>
      </c>
      <c r="R95" t="str">
        <f t="shared" si="131"/>
        <v>1.2.3.AX</v>
      </c>
      <c r="S95" t="str">
        <f>IF(AND(O95&lt;&gt;"",LEFT(O95,1)&lt;&gt;"#"),IF(LEFT(O95,1)="-",REPLACE(O95,1,1,tech!$H$2),O95),"")</f>
        <v/>
      </c>
      <c r="T95" t="s">
        <v>495</v>
      </c>
      <c r="U95" s="492" t="s">
        <v>642</v>
      </c>
      <c r="V95" t="str">
        <f t="shared" si="112"/>
        <v>List of relevant laws, regulations, and standards, exist and is maintained</v>
      </c>
      <c r="W95" t="str">
        <f t="shared" si="160"/>
        <v>Guidance</v>
      </c>
      <c r="X95" t="str">
        <f t="shared" si="133"/>
        <v>1.3.4.GY</v>
      </c>
      <c r="Y95" t="str">
        <f>IF(AND(U95&lt;&gt;"",LEFT(U95,1)&lt;&gt;"#"),IF(LEFT(U95,1)="-",REPLACE(U95,1,1,tech!$H$2),U95),"")</f>
        <v>Standards are voluntary guidelines or specifications typically established by a particular industry group or standards organization.  Standards usually define best practices, technical specifications, quality benchmarks, and other criteria and are meant as a means of ensuring consistency, interoperability, and quality.  Typically, compliance with standards is not legally required, however, lack of conformance to standards can lead to diminished interoperability and reduced trust.</v>
      </c>
      <c r="Z95" t="s">
        <v>495</v>
      </c>
      <c r="AA95" s="492" t="s">
        <v>667</v>
      </c>
      <c r="AB95" t="str">
        <f t="shared" si="113"/>
        <v>Evidence from procedures is collected and maintained</v>
      </c>
      <c r="AC95" t="str">
        <f t="shared" si="161"/>
        <v>Assessment</v>
      </c>
      <c r="AD95" t="str">
        <f t="shared" si="135"/>
        <v>1.4.4.AY</v>
      </c>
      <c r="AE95" t="str">
        <f>IF(AND(AA95&lt;&gt;"",LEFT(AA95,1)&lt;&gt;"#"),IF(LEFT(AA95,1)="-",REPLACE(AA95,1,1,tech!$H$2),AA95),"")</f>
        <v>The following is sample evidence and information that can be collected during the assessment:</v>
      </c>
      <c r="AF95" t="s">
        <v>495</v>
      </c>
      <c r="AG95" s="492"/>
      <c r="AH95" t="str">
        <f t="shared" si="114"/>
        <v>Inventory of cryptographic devices is documented and maintained</v>
      </c>
      <c r="AI95" t="str">
        <f t="shared" si="162"/>
        <v>References</v>
      </c>
      <c r="AJ95" t="str">
        <f t="shared" si="137"/>
        <v>2.1.3.RX</v>
      </c>
      <c r="AK95" t="str">
        <f>IF(AND(AG95&lt;&gt;"",LEFT(AG95,1)&lt;&gt;"#"),IF(LEFT(AG95,1)="-",REPLACE(AG95,1,1,tech!$H$2),AG95),"")</f>
        <v/>
      </c>
      <c r="AL95" t="s">
        <v>495</v>
      </c>
      <c r="AM95" s="492" t="s">
        <v>826</v>
      </c>
      <c r="AN95" t="str">
        <f t="shared" si="115"/>
        <v>Certificate lifecycle management is documented</v>
      </c>
      <c r="AO95" t="str">
        <f t="shared" si="163"/>
        <v>Assessment</v>
      </c>
      <c r="AP95" t="str">
        <f t="shared" si="139"/>
        <v>2.2.3.AY</v>
      </c>
      <c r="AQ95" t="str">
        <f>IF(AND(AM95&lt;&gt;"",LEFT(AM95,1)&lt;&gt;"#"),IF(LEFT(AM95,1)="-",REPLACE(AM95,1,1,tech!$H$2),AM95),"")</f>
        <v xml:space="preserve">  * configuration of protocols</v>
      </c>
      <c r="AR95" t="s">
        <v>495</v>
      </c>
      <c r="AS95" s="492" t="s">
        <v>925</v>
      </c>
      <c r="AT95" t="str">
        <f t="shared" si="116"/>
        <v>Network vulnerability management is implemented and maintained</v>
      </c>
      <c r="AU95" t="str">
        <f t="shared" si="164"/>
        <v>Assessment</v>
      </c>
      <c r="AV95" t="str">
        <f t="shared" si="141"/>
        <v>2.3.3.AY</v>
      </c>
      <c r="AW95" t="str">
        <f>IF(AND(AS95&lt;&gt;"",LEFT(AS95,1)&lt;&gt;"#"),IF(LEFT(AS95,1)="-",REPLACE(AS95,1,1,tech!$H$2),AS95),"")</f>
        <v>• Interview with the network administrators</v>
      </c>
      <c r="AX95" t="s">
        <v>495</v>
      </c>
      <c r="AY95" s="492" t="s">
        <v>1003</v>
      </c>
      <c r="AZ95" t="str">
        <f t="shared" si="117"/>
        <v>The change management process is documented and implemented</v>
      </c>
      <c r="BA95" t="str">
        <f t="shared" si="165"/>
        <v>Assessment</v>
      </c>
      <c r="BB95" t="str">
        <f t="shared" si="143"/>
        <v>2.4.3.AY</v>
      </c>
      <c r="BC95" t="str">
        <f>IF(AND(AY95&lt;&gt;"",LEFT(AY95,1)&lt;&gt;"#"),IF(LEFT(AY95,1)="-",REPLACE(AY95,1,1,tech!$H$2),AY95),"")</f>
        <v>• Steps involved in the change management process</v>
      </c>
      <c r="BD95" t="s">
        <v>495</v>
      </c>
      <c r="BE95" s="492"/>
      <c r="BF95" t="str">
        <f t="shared" si="118"/>
        <v>Business continuity planning and disaster recovery</v>
      </c>
      <c r="BG95" t="str">
        <f t="shared" si="166"/>
        <v>Assessment</v>
      </c>
      <c r="BH95" t="str">
        <f t="shared" si="145"/>
        <v>3.1.3.AX</v>
      </c>
      <c r="BI95" t="str">
        <f>IF(AND(BE95&lt;&gt;"",LEFT(BE95,1)&lt;&gt;"#"),IF(LEFT(BE95,1)="-",REPLACE(BE95,1,1,tech!$H$2),BE95),"")</f>
        <v/>
      </c>
      <c r="BJ95" t="s">
        <v>495</v>
      </c>
      <c r="BK95" s="492" t="s">
        <v>1108</v>
      </c>
      <c r="BL95" t="str">
        <f t="shared" si="119"/>
        <v>Adoption and application of open standards</v>
      </c>
      <c r="BM95" t="str">
        <f t="shared" si="167"/>
        <v>References</v>
      </c>
      <c r="BN95" t="str">
        <f t="shared" si="147"/>
        <v>3.2.3.RY</v>
      </c>
      <c r="BO95" t="str">
        <f>IF(AND(BK95&lt;&gt;"",LEFT(BK95,1)&lt;&gt;"#"),IF(LEFT(BK95,1)="-",REPLACE(BK95,1,1,tech!$H$2),BK95),"")</f>
        <v>• [NIST Standards](https://www.nist.gov/standards)</v>
      </c>
      <c r="BP95" t="s">
        <v>495</v>
      </c>
      <c r="BQ95" s="492" t="s">
        <v>501</v>
      </c>
      <c r="BR95" t="str">
        <f t="shared" si="120"/>
        <v>Audit trail can be reconstructed from audit logs</v>
      </c>
      <c r="BS95" t="str">
        <f t="shared" si="168"/>
        <v>Assessment</v>
      </c>
      <c r="BT95" t="str">
        <f t="shared" si="149"/>
        <v>3.3.3.AX</v>
      </c>
      <c r="BU95" t="str">
        <f>IF(AND(BQ95&lt;&gt;"",LEFT(BQ95,1)&lt;&gt;"#"),IF(LEFT(BQ95,1)="-",REPLACE(BQ95,1,1,tech!$H$2),BQ95),"")</f>
        <v/>
      </c>
      <c r="BV95" t="s">
        <v>495</v>
      </c>
      <c r="BW95" s="492"/>
      <c r="BX95" t="str">
        <f t="shared" si="121"/>
        <v>Incidents and exceptions handling</v>
      </c>
      <c r="BY95" t="str">
        <f t="shared" si="169"/>
        <v>References</v>
      </c>
      <c r="BZ95" t="str">
        <f t="shared" si="151"/>
        <v>3.4.3.RX</v>
      </c>
      <c r="CA95" t="str">
        <f>IF(AND(BW95&lt;&gt;"",LEFT(BW95,1)&lt;&gt;"#"),IF(LEFT(BW95,1)="-",REPLACE(BW95,1,1,tech!$H$2),BW95),"")</f>
        <v/>
      </c>
      <c r="CB95" t="s">
        <v>495</v>
      </c>
      <c r="CC95" s="492" t="s">
        <v>1281</v>
      </c>
      <c r="CD95" t="str">
        <f t="shared" si="122"/>
        <v>Resources are periodically reviewed</v>
      </c>
      <c r="CE95" t="str">
        <f t="shared" si="170"/>
        <v>Assessment</v>
      </c>
      <c r="CF95" t="str">
        <f t="shared" si="153"/>
        <v>4.1.4.AY</v>
      </c>
      <c r="CG95" t="str">
        <f>IF(AND(CC95&lt;&gt;"",LEFT(CC95,1)&lt;&gt;"#"),IF(LEFT(CC95,1)="-",REPLACE(CC95,1,1,tech!$H$2),CC95),"")</f>
        <v>• Review of the capacity or available resources</v>
      </c>
      <c r="CH95" t="s">
        <v>495</v>
      </c>
      <c r="CI95" s="492"/>
      <c r="CJ95" t="str">
        <f t="shared" si="123"/>
        <v>Perform security awareness training</v>
      </c>
      <c r="CK95" t="str">
        <f t="shared" si="171"/>
        <v>Guidance</v>
      </c>
      <c r="CL95" t="str">
        <f t="shared" si="155"/>
        <v>4.2.3.GX</v>
      </c>
      <c r="CM95" t="str">
        <f>IF(AND(CI95&lt;&gt;"",LEFT(CI95,1)&lt;&gt;"#"),IF(LEFT(CI95,1)="-",REPLACE(CI95,1,1,tech!$H$2),CI95),"")</f>
        <v/>
      </c>
      <c r="CN95" t="s">
        <v>495</v>
      </c>
      <c r="CO95" s="492" t="s">
        <v>503</v>
      </c>
      <c r="CP95" t="str">
        <f t="shared" si="124"/>
        <v>Establish single point of contact</v>
      </c>
      <c r="CQ95" t="str">
        <f t="shared" si="172"/>
        <v>References</v>
      </c>
      <c r="CR95" t="str">
        <f t="shared" si="157"/>
        <v>4.3.3.RX</v>
      </c>
      <c r="CS95" t="str">
        <f>IF(AND(CO95&lt;&gt;"",LEFT(CO95,1)&lt;&gt;"#"),IF(LEFT(CO95,1)="-",REPLACE(CO95,1,1,tech!$H$2),CO95),"")</f>
        <v/>
      </c>
      <c r="CT95" t="s">
        <v>495</v>
      </c>
    </row>
    <row r="96" spans="3:98" x14ac:dyDescent="0.25">
      <c r="C96" s="492"/>
      <c r="D96" t="str">
        <f t="shared" si="173"/>
        <v>Optimized</v>
      </c>
      <c r="E96" t="str">
        <f t="shared" si="174"/>
        <v>Associated risks</v>
      </c>
      <c r="F96" t="str">
        <f>_xlfn.CONCAT(VLOOKUP(D96,tech!$A$13:$B$17,2,0),LEFT(E96,1),IF(G96="","X","Y"))</f>
        <v>5AX</v>
      </c>
      <c r="G96" t="str">
        <f>IF(IF(LEFT(C96,1)="-",C96,"")="","",REPLACE(IF(LEFT(C96,1)="-",C96,""),1,1,tech!$H$2))</f>
        <v/>
      </c>
      <c r="H96" t="s">
        <v>495</v>
      </c>
      <c r="I96" s="492" t="s">
        <v>501</v>
      </c>
      <c r="J96" t="str">
        <f t="shared" si="127"/>
        <v>Architecture and design of the PKI</v>
      </c>
      <c r="K96" t="str">
        <f t="shared" si="158"/>
        <v>Assessment</v>
      </c>
      <c r="L96" t="str">
        <f t="shared" si="129"/>
        <v>1.1.4.AX</v>
      </c>
      <c r="M96" t="str">
        <f>IF(AND(I96&lt;&gt;"",LEFT(I96,1)&lt;&gt;"#"),IF(LEFT(I96,1)="-",REPLACE(I96,1,1,tech!$H$2),I96),"")</f>
        <v/>
      </c>
      <c r="N96" t="s">
        <v>495</v>
      </c>
      <c r="O96" s="492" t="s">
        <v>503</v>
      </c>
      <c r="P96" t="str">
        <f t="shared" si="111"/>
        <v>Certification practice statement is documented and published</v>
      </c>
      <c r="Q96" t="str">
        <f t="shared" si="159"/>
        <v>References</v>
      </c>
      <c r="R96" t="str">
        <f t="shared" si="131"/>
        <v>1.2.3.RX</v>
      </c>
      <c r="S96" t="str">
        <f>IF(AND(O96&lt;&gt;"",LEFT(O96,1)&lt;&gt;"#"),IF(LEFT(O96,1)="-",REPLACE(O96,1,1,tech!$H$2),O96),"")</f>
        <v/>
      </c>
      <c r="T96" t="s">
        <v>495</v>
      </c>
      <c r="U96" s="492"/>
      <c r="V96" t="str">
        <f t="shared" si="112"/>
        <v>List of relevant laws, regulations, and standards, exist and is maintained</v>
      </c>
      <c r="W96" t="str">
        <f t="shared" si="160"/>
        <v>Guidance</v>
      </c>
      <c r="X96" t="str">
        <f t="shared" si="133"/>
        <v>1.3.4.GY</v>
      </c>
      <c r="Y96" t="str">
        <f>IF(AND(U96&lt;&gt;"",LEFT(U96,1)&lt;&gt;"#"),IF(LEFT(U96,1)="-",REPLACE(U96,1,1,tech!$H$2),U96),"")</f>
        <v/>
      </c>
      <c r="Z96" t="s">
        <v>495</v>
      </c>
      <c r="AA96" s="492" t="s">
        <v>692</v>
      </c>
      <c r="AB96" t="str">
        <f t="shared" si="113"/>
        <v>Evidence from procedures is collected and maintained</v>
      </c>
      <c r="AC96" t="str">
        <f t="shared" si="161"/>
        <v>Assessment</v>
      </c>
      <c r="AD96" t="str">
        <f t="shared" si="135"/>
        <v>1.4.4.AY</v>
      </c>
      <c r="AE96" t="str">
        <f>IF(AND(AA96&lt;&gt;"",LEFT(AA96,1)&lt;&gt;"#"),IF(LEFT(AA96,1)="-",REPLACE(AA96,1,1,tech!$H$2),AA96),"")</f>
        <v>• Evidence of the execution of the processes and procedures</v>
      </c>
      <c r="AF96" t="s">
        <v>495</v>
      </c>
      <c r="AG96" s="492" t="s">
        <v>721</v>
      </c>
      <c r="AH96" t="str">
        <f t="shared" si="114"/>
        <v>Each cryptographic key is defined and has documented lifecycle procedures</v>
      </c>
      <c r="AI96" t="str">
        <f t="shared" si="162"/>
        <v>References</v>
      </c>
      <c r="AJ96" t="str">
        <f t="shared" si="137"/>
        <v>2.1.4.RX</v>
      </c>
      <c r="AK96" t="str">
        <f>IF(AND(AG96&lt;&gt;"",LEFT(AG96,1)&lt;&gt;"#"),IF(LEFT(AG96,1)="-",REPLACE(AG96,1,1,tech!$H$2),AG96),"")</f>
        <v/>
      </c>
      <c r="AL96" t="s">
        <v>495</v>
      </c>
      <c r="AM96" s="492" t="s">
        <v>827</v>
      </c>
      <c r="AN96" t="str">
        <f t="shared" si="115"/>
        <v>Certificate lifecycle management is documented</v>
      </c>
      <c r="AO96" t="str">
        <f t="shared" si="163"/>
        <v>Assessment</v>
      </c>
      <c r="AP96" t="str">
        <f t="shared" si="139"/>
        <v>2.2.3.AY</v>
      </c>
      <c r="AQ96" t="str">
        <f>IF(AND(AM96&lt;&gt;"",LEFT(AM96,1)&lt;&gt;"#"),IF(LEFT(AM96,1)="-",REPLACE(AM96,1,1,tech!$H$2),AM96),"")</f>
        <v>* Documented Certificate Acceptance and certificate subject installation procedures</v>
      </c>
      <c r="AR96" t="s">
        <v>495</v>
      </c>
      <c r="AS96" s="492"/>
      <c r="AT96" t="str">
        <f t="shared" si="116"/>
        <v>Network vulnerability management is implemented and maintained</v>
      </c>
      <c r="AU96" t="str">
        <f t="shared" si="164"/>
        <v>Assessment</v>
      </c>
      <c r="AV96" t="str">
        <f t="shared" si="141"/>
        <v>2.3.3.AX</v>
      </c>
      <c r="AW96" t="str">
        <f>IF(AND(AS96&lt;&gt;"",LEFT(AS96,1)&lt;&gt;"#"),IF(LEFT(AS96,1)="-",REPLACE(AS96,1,1,tech!$H$2),AS96),"")</f>
        <v/>
      </c>
      <c r="AX96" t="s">
        <v>495</v>
      </c>
      <c r="AY96" s="492" t="s">
        <v>1004</v>
      </c>
      <c r="AZ96" t="str">
        <f t="shared" si="117"/>
        <v>The change management process is documented and implemented</v>
      </c>
      <c r="BA96" t="str">
        <f t="shared" si="165"/>
        <v>Assessment</v>
      </c>
      <c r="BB96" t="str">
        <f t="shared" si="143"/>
        <v>2.4.3.AY</v>
      </c>
      <c r="BC96" t="str">
        <f>IF(AND(AY96&lt;&gt;"",LEFT(AY96,1)&lt;&gt;"#"),IF(LEFT(AY96,1)="-",REPLACE(AY96,1,1,tech!$H$2),AY96),"")</f>
        <v>• Interview with the responsible personnel</v>
      </c>
      <c r="BD96" t="s">
        <v>495</v>
      </c>
      <c r="BE96" s="492" t="s">
        <v>503</v>
      </c>
      <c r="BF96" t="str">
        <f t="shared" si="118"/>
        <v>Business continuity planning and disaster recovery</v>
      </c>
      <c r="BG96" t="str">
        <f t="shared" si="166"/>
        <v>References</v>
      </c>
      <c r="BH96" t="str">
        <f t="shared" si="145"/>
        <v>3.1.3.RX</v>
      </c>
      <c r="BI96" t="str">
        <f>IF(AND(BE96&lt;&gt;"",LEFT(BE96,1)&lt;&gt;"#"),IF(LEFT(BE96,1)="-",REPLACE(BE96,1,1,tech!$H$2),BE96),"")</f>
        <v/>
      </c>
      <c r="BJ96" t="s">
        <v>495</v>
      </c>
      <c r="BK96" s="492" t="s">
        <v>1109</v>
      </c>
      <c r="BL96" t="str">
        <f t="shared" si="119"/>
        <v>Adoption and application of open standards</v>
      </c>
      <c r="BM96" t="str">
        <f t="shared" si="167"/>
        <v>References</v>
      </c>
      <c r="BN96" t="str">
        <f t="shared" si="147"/>
        <v>3.2.3.RY</v>
      </c>
      <c r="BO96" t="str">
        <f>IF(AND(BK96&lt;&gt;"",LEFT(BK96,1)&lt;&gt;"#"),IF(LEFT(BK96,1)="-",REPLACE(BK96,1,1,tech!$H$2),BK96),"")</f>
        <v>• [ETSI Standards](https://www.etsi.org/standards)</v>
      </c>
      <c r="BP96" t="s">
        <v>495</v>
      </c>
      <c r="BQ96" s="492"/>
      <c r="BR96" t="str">
        <f t="shared" si="120"/>
        <v>Audit trail can be reconstructed from audit logs</v>
      </c>
      <c r="BS96" t="str">
        <f t="shared" si="168"/>
        <v>Assessment</v>
      </c>
      <c r="BT96" t="str">
        <f t="shared" si="149"/>
        <v>3.3.3.AX</v>
      </c>
      <c r="BU96" t="str">
        <f>IF(AND(BQ96&lt;&gt;"",LEFT(BQ96,1)&lt;&gt;"#"),IF(LEFT(BQ96,1)="-",REPLACE(BQ96,1,1,tech!$H$2),BQ96),"")</f>
        <v/>
      </c>
      <c r="BV96" t="s">
        <v>495</v>
      </c>
      <c r="BW96" s="492"/>
      <c r="BX96" t="str">
        <f t="shared" si="121"/>
        <v>Incidents and exceptions handling</v>
      </c>
      <c r="BY96" t="str">
        <f t="shared" si="169"/>
        <v>References</v>
      </c>
      <c r="BZ96" t="str">
        <f t="shared" si="151"/>
        <v>3.4.3.RX</v>
      </c>
      <c r="CA96" t="str">
        <f>IF(AND(BW96&lt;&gt;"",LEFT(BW96,1)&lt;&gt;"#"),IF(LEFT(BW96,1)="-",REPLACE(BW96,1,1,tech!$H$2),BW96),"")</f>
        <v/>
      </c>
      <c r="CB96" t="s">
        <v>495</v>
      </c>
      <c r="CC96" s="492" t="s">
        <v>1282</v>
      </c>
      <c r="CD96" t="str">
        <f t="shared" si="122"/>
        <v>Resources are periodically reviewed</v>
      </c>
      <c r="CE96" t="str">
        <f t="shared" si="170"/>
        <v>Assessment</v>
      </c>
      <c r="CF96" t="str">
        <f t="shared" si="153"/>
        <v>4.1.4.AY</v>
      </c>
      <c r="CG96" t="str">
        <f>IF(AND(CC96&lt;&gt;"",LEFT(CC96,1)&lt;&gt;"#"),IF(LEFT(CC96,1)="-",REPLACE(CC96,1,1,tech!$H$2),CC96),"")</f>
        <v>• Vendor announcements</v>
      </c>
      <c r="CH96" t="s">
        <v>495</v>
      </c>
      <c r="CI96" s="492" t="s">
        <v>501</v>
      </c>
      <c r="CJ96" t="str">
        <f t="shared" si="123"/>
        <v>Perform security awareness training</v>
      </c>
      <c r="CK96" t="str">
        <f t="shared" si="171"/>
        <v>Assessment</v>
      </c>
      <c r="CL96" t="str">
        <f t="shared" si="155"/>
        <v>4.2.3.AX</v>
      </c>
      <c r="CM96" t="str">
        <f>IF(AND(CI96&lt;&gt;"",LEFT(CI96,1)&lt;&gt;"#"),IF(LEFT(CI96,1)="-",REPLACE(CI96,1,1,tech!$H$2),CI96),"")</f>
        <v/>
      </c>
      <c r="CN96" t="s">
        <v>495</v>
      </c>
      <c r="CO96" s="492"/>
      <c r="CP96" t="str">
        <f t="shared" si="124"/>
        <v>Establish single point of contact</v>
      </c>
      <c r="CQ96" t="str">
        <f t="shared" si="172"/>
        <v>References</v>
      </c>
      <c r="CR96" t="str">
        <f t="shared" si="157"/>
        <v>4.3.3.RX</v>
      </c>
      <c r="CS96" t="str">
        <f>IF(AND(CO96&lt;&gt;"",LEFT(CO96,1)&lt;&gt;"#"),IF(LEFT(CO96,1)="-",REPLACE(CO96,1,1,tech!$H$2),CO96),"")</f>
        <v/>
      </c>
      <c r="CT96" t="s">
        <v>495</v>
      </c>
    </row>
    <row r="97" spans="3:98" x14ac:dyDescent="0.25">
      <c r="C97" s="492"/>
      <c r="D97" t="str">
        <f t="shared" si="173"/>
        <v>Optimized</v>
      </c>
      <c r="E97" t="str">
        <f t="shared" si="174"/>
        <v>Associated risks</v>
      </c>
      <c r="F97" t="str">
        <f>_xlfn.CONCAT(VLOOKUP(D97,tech!$A$13:$B$17,2,0),LEFT(E97,1),IF(G97="","X","Y"))</f>
        <v>5AX</v>
      </c>
      <c r="G97" t="str">
        <f>IF(IF(LEFT(C97,1)="-",C97,"")="","",REPLACE(IF(LEFT(C97,1)="-",C97,""),1,1,tech!$H$2))</f>
        <v/>
      </c>
      <c r="H97" t="s">
        <v>495</v>
      </c>
      <c r="I97" s="492"/>
      <c r="J97" t="str">
        <f t="shared" si="127"/>
        <v>Architecture and design of the PKI</v>
      </c>
      <c r="K97" t="str">
        <f t="shared" si="158"/>
        <v>Assessment</v>
      </c>
      <c r="L97" t="str">
        <f t="shared" si="129"/>
        <v>1.1.4.AX</v>
      </c>
      <c r="M97" t="str">
        <f>IF(AND(I97&lt;&gt;"",LEFT(I97,1)&lt;&gt;"#"),IF(LEFT(I97,1)="-",REPLACE(I97,1,1,tech!$H$2),I97),"")</f>
        <v/>
      </c>
      <c r="N97" t="s">
        <v>495</v>
      </c>
      <c r="O97" s="492"/>
      <c r="P97" t="str">
        <f t="shared" si="111"/>
        <v>Certification practice statement is documented and published</v>
      </c>
      <c r="Q97" t="str">
        <f t="shared" si="159"/>
        <v>References</v>
      </c>
      <c r="R97" t="str">
        <f t="shared" si="131"/>
        <v>1.2.3.RX</v>
      </c>
      <c r="S97" t="str">
        <f>IF(AND(O97&lt;&gt;"",LEFT(O97,1)&lt;&gt;"#"),IF(LEFT(O97,1)="-",REPLACE(O97,1,1,tech!$H$2),O97),"")</f>
        <v/>
      </c>
      <c r="T97" t="s">
        <v>495</v>
      </c>
      <c r="U97" s="492" t="s">
        <v>643</v>
      </c>
      <c r="V97" t="str">
        <f t="shared" si="112"/>
        <v>List of relevant laws, regulations, and standards, exist and is maintained</v>
      </c>
      <c r="W97" t="str">
        <f t="shared" si="160"/>
        <v>Guidance</v>
      </c>
      <c r="X97" t="str">
        <f t="shared" si="133"/>
        <v>1.3.4.GY</v>
      </c>
      <c r="Y97" t="str">
        <f>IF(AND(U97&lt;&gt;"",LEFT(U97,1)&lt;&gt;"#"),IF(LEFT(U97,1)="-",REPLACE(U97,1,1,tech!$H$2),U97),"")</f>
        <v>With respect to PKI, it is very important to understand what laws, regulations and standards are relevant to the PKI and its ancillary systems.  For example, given that PKI involves cryptography, one must be certain to adhere to government laws regarding use and deployment of cryptographic products and solutions.</v>
      </c>
      <c r="Z97" t="s">
        <v>495</v>
      </c>
      <c r="AA97" s="492" t="s">
        <v>686</v>
      </c>
      <c r="AB97" t="str">
        <f t="shared" si="113"/>
        <v>Evidence from procedures is collected and maintained</v>
      </c>
      <c r="AC97" t="str">
        <f t="shared" si="161"/>
        <v>Assessment</v>
      </c>
      <c r="AD97" t="str">
        <f t="shared" si="135"/>
        <v>1.4.4.AY</v>
      </c>
      <c r="AE97" t="str">
        <f>IF(AND(AA97&lt;&gt;"",LEFT(AA97,1)&lt;&gt;"#"),IF(LEFT(AA97,1)="-",REPLACE(AA97,1,1,tech!$H$2),AA97),"")</f>
        <v>• Interview with the PKI management and staff</v>
      </c>
      <c r="AF97" t="s">
        <v>495</v>
      </c>
      <c r="AG97" s="492"/>
      <c r="AH97" t="str">
        <f t="shared" si="114"/>
        <v>Each cryptographic key is defined and has documented lifecycle procedures</v>
      </c>
      <c r="AI97" t="str">
        <f t="shared" si="162"/>
        <v>References</v>
      </c>
      <c r="AJ97" t="str">
        <f t="shared" si="137"/>
        <v>2.1.4.RX</v>
      </c>
      <c r="AK97" t="str">
        <f>IF(AND(AG97&lt;&gt;"",LEFT(AG97,1)&lt;&gt;"#"),IF(LEFT(AG97,1)="-",REPLACE(AG97,1,1,tech!$H$2),AG97),"")</f>
        <v/>
      </c>
      <c r="AL97" t="s">
        <v>495</v>
      </c>
      <c r="AM97" s="492" t="s">
        <v>828</v>
      </c>
      <c r="AN97" t="str">
        <f t="shared" si="115"/>
        <v>Certificate lifecycle management is documented</v>
      </c>
      <c r="AO97" t="str">
        <f t="shared" si="163"/>
        <v>Assessment</v>
      </c>
      <c r="AP97" t="str">
        <f t="shared" si="139"/>
        <v>2.2.3.AY</v>
      </c>
      <c r="AQ97" t="str">
        <f>IF(AND(AM97&lt;&gt;"",LEFT(AM97,1)&lt;&gt;"#"),IF(LEFT(AM97,1)="-",REPLACE(AM97,1,1,tech!$H$2),AM97),"")</f>
        <v>* Documented renewal criteria, where re-key is nessecary and which certificate modifications are allowed</v>
      </c>
      <c r="AR97" t="s">
        <v>495</v>
      </c>
      <c r="AS97" s="492" t="s">
        <v>503</v>
      </c>
      <c r="AT97" t="str">
        <f t="shared" si="116"/>
        <v>Network vulnerability management is implemented and maintained</v>
      </c>
      <c r="AU97" t="str">
        <f t="shared" si="164"/>
        <v>References</v>
      </c>
      <c r="AV97" t="str">
        <f t="shared" si="141"/>
        <v>2.3.3.RX</v>
      </c>
      <c r="AW97" t="str">
        <f>IF(AND(AS97&lt;&gt;"",LEFT(AS97,1)&lt;&gt;"#"),IF(LEFT(AS97,1)="-",REPLACE(AS97,1,1,tech!$H$2),AS97),"")</f>
        <v/>
      </c>
      <c r="AX97" t="s">
        <v>495</v>
      </c>
      <c r="AY97" s="492"/>
      <c r="AZ97" t="str">
        <f t="shared" si="117"/>
        <v>The change management process is documented and implemented</v>
      </c>
      <c r="BA97" t="str">
        <f t="shared" si="165"/>
        <v>Assessment</v>
      </c>
      <c r="BB97" t="str">
        <f t="shared" si="143"/>
        <v>2.4.3.AX</v>
      </c>
      <c r="BC97" t="str">
        <f>IF(AND(AY97&lt;&gt;"",LEFT(AY97,1)&lt;&gt;"#"),IF(LEFT(AY97,1)="-",REPLACE(AY97,1,1,tech!$H$2),AY97),"")</f>
        <v/>
      </c>
      <c r="BD97" t="s">
        <v>495</v>
      </c>
      <c r="BE97" s="492"/>
      <c r="BF97" t="str">
        <f t="shared" si="118"/>
        <v>Business continuity planning and disaster recovery</v>
      </c>
      <c r="BG97" t="str">
        <f t="shared" si="166"/>
        <v>References</v>
      </c>
      <c r="BH97" t="str">
        <f t="shared" si="145"/>
        <v>3.1.3.RX</v>
      </c>
      <c r="BI97" t="str">
        <f>IF(AND(BE97&lt;&gt;"",LEFT(BE97,1)&lt;&gt;"#"),IF(LEFT(BE97,1)="-",REPLACE(BE97,1,1,tech!$H$2),BE97),"")</f>
        <v/>
      </c>
      <c r="BJ97" t="s">
        <v>495</v>
      </c>
      <c r="BK97" s="492"/>
      <c r="BL97" t="str">
        <f t="shared" si="119"/>
        <v>Adoption and application of open standards</v>
      </c>
      <c r="BM97" t="str">
        <f t="shared" si="167"/>
        <v>References</v>
      </c>
      <c r="BN97" t="str">
        <f t="shared" si="147"/>
        <v>3.2.3.RX</v>
      </c>
      <c r="BO97" t="str">
        <f>IF(AND(BK97&lt;&gt;"",LEFT(BK97,1)&lt;&gt;"#"),IF(LEFT(BK97,1)="-",REPLACE(BK97,1,1,tech!$H$2),BK97),"")</f>
        <v/>
      </c>
      <c r="BP97" t="s">
        <v>495</v>
      </c>
      <c r="BQ97" s="492" t="s">
        <v>1197</v>
      </c>
      <c r="BR97" t="str">
        <f t="shared" si="120"/>
        <v>Audit trail can be reconstructed from audit logs</v>
      </c>
      <c r="BS97" t="str">
        <f t="shared" si="168"/>
        <v>Assessment</v>
      </c>
      <c r="BT97" t="str">
        <f t="shared" si="149"/>
        <v>3.3.3.AY</v>
      </c>
      <c r="BU97" t="str">
        <f>IF(AND(BQ97&lt;&gt;"",LEFT(BQ97,1)&lt;&gt;"#"),IF(LEFT(BQ97,1)="-",REPLACE(BQ97,1,1,tech!$H$2),BQ97),"")</f>
        <v>• Audit trail can be reconstructed from Audit logs</v>
      </c>
      <c r="BV97" t="s">
        <v>495</v>
      </c>
      <c r="BW97" s="492"/>
      <c r="BX97" t="str">
        <f t="shared" si="121"/>
        <v>Incidents and exceptions handling</v>
      </c>
      <c r="BY97" t="str">
        <f t="shared" si="169"/>
        <v>References</v>
      </c>
      <c r="BZ97" t="str">
        <f t="shared" si="151"/>
        <v>3.4.3.RX</v>
      </c>
      <c r="CA97" t="str">
        <f>IF(AND(BW97&lt;&gt;"",LEFT(BW97,1)&lt;&gt;"#"),IF(LEFT(BW97,1)="-",REPLACE(BW97,1,1,tech!$H$2),BW97),"")</f>
        <v/>
      </c>
      <c r="CB97" t="s">
        <v>495</v>
      </c>
      <c r="CC97" s="492" t="s">
        <v>1471</v>
      </c>
      <c r="CD97" t="str">
        <f t="shared" si="122"/>
        <v>Resources are periodically reviewed</v>
      </c>
      <c r="CE97" t="str">
        <f t="shared" si="170"/>
        <v>Assessment</v>
      </c>
      <c r="CF97" t="str">
        <f t="shared" si="153"/>
        <v>4.1.4.AY</v>
      </c>
      <c r="CG97" t="str">
        <f>IF(AND(CC97&lt;&gt;"",LEFT(CC97,1)&lt;&gt;"#"),IF(LEFT(CC97,1)="-",REPLACE(CC97,1,1,tech!$H$2),CC97),"")</f>
        <v>• technology trends</v>
      </c>
      <c r="CH97" t="s">
        <v>495</v>
      </c>
      <c r="CI97" s="492"/>
      <c r="CJ97" t="str">
        <f t="shared" si="123"/>
        <v>Perform security awareness training</v>
      </c>
      <c r="CK97" t="str">
        <f t="shared" si="171"/>
        <v>Assessment</v>
      </c>
      <c r="CL97" t="str">
        <f t="shared" si="155"/>
        <v>4.2.3.AX</v>
      </c>
      <c r="CM97" t="str">
        <f>IF(AND(CI97&lt;&gt;"",LEFT(CI97,1)&lt;&gt;"#"),IF(LEFT(CI97,1)="-",REPLACE(CI97,1,1,tech!$H$2),CI97),"")</f>
        <v/>
      </c>
      <c r="CN97" t="s">
        <v>495</v>
      </c>
      <c r="CO97" s="492" t="s">
        <v>1369</v>
      </c>
      <c r="CP97" t="str">
        <f t="shared" si="124"/>
        <v>Establish single point of contact</v>
      </c>
      <c r="CQ97" t="str">
        <f t="shared" si="172"/>
        <v>References</v>
      </c>
      <c r="CR97" t="str">
        <f t="shared" si="157"/>
        <v>4.3.3.RY</v>
      </c>
      <c r="CS97" t="str">
        <f>IF(AND(CO97&lt;&gt;"",LEFT(CO97,1)&lt;&gt;"#"),IF(LEFT(CO97,1)="-",REPLACE(CO97,1,1,tech!$H$2),CO97),"")</f>
        <v>• [RFC 3647 Internet X.509 Public Key Infrastructure Certificate Policy and Certification Practices Framework](https://datatracker.ietf.org/doc/html/rfc3647)</v>
      </c>
      <c r="CT97" t="s">
        <v>495</v>
      </c>
    </row>
    <row r="98" spans="3:98" x14ac:dyDescent="0.25">
      <c r="C98" s="492"/>
      <c r="D98" t="str">
        <f t="shared" si="173"/>
        <v>Optimized</v>
      </c>
      <c r="E98" t="str">
        <f t="shared" si="174"/>
        <v>Associated risks</v>
      </c>
      <c r="F98" t="str">
        <f>_xlfn.CONCAT(VLOOKUP(D98,tech!$A$13:$B$17,2,0),LEFT(E98,1),IF(G98="","X","Y"))</f>
        <v>5AX</v>
      </c>
      <c r="G98" t="str">
        <f>IF(IF(LEFT(C98,1)="-",C98,"")="","",REPLACE(IF(LEFT(C98,1)="-",C98,""),1,1,tech!$H$2))</f>
        <v/>
      </c>
      <c r="H98" t="s">
        <v>495</v>
      </c>
      <c r="I98" s="492" t="s">
        <v>502</v>
      </c>
      <c r="J98" t="str">
        <f t="shared" si="127"/>
        <v>Architecture and design of the PKI</v>
      </c>
      <c r="K98" t="str">
        <f t="shared" si="158"/>
        <v>Assessment</v>
      </c>
      <c r="L98" t="str">
        <f t="shared" si="129"/>
        <v>1.1.4.AY</v>
      </c>
      <c r="M98" t="str">
        <f>IF(AND(I98&lt;&gt;"",LEFT(I98,1)&lt;&gt;"#"),IF(LEFT(I98,1)="-",REPLACE(I98,1,1,tech!$H$2),I98),"")</f>
        <v>The following is sample evidence that can be used to assess the requirement:</v>
      </c>
      <c r="N98" t="s">
        <v>495</v>
      </c>
      <c r="O98" s="492" t="s">
        <v>551</v>
      </c>
      <c r="P98" t="str">
        <f t="shared" si="111"/>
        <v>Certification practice statement is documented and published</v>
      </c>
      <c r="Q98" t="str">
        <f t="shared" si="159"/>
        <v>References</v>
      </c>
      <c r="R98" t="str">
        <f t="shared" si="131"/>
        <v>1.2.3.RY</v>
      </c>
      <c r="S98" t="str">
        <f>IF(AND(O98&lt;&gt;"",LEFT(O98,1)&lt;&gt;"#"),IF(LEFT(O98,1)="-",REPLACE(O98,1,1,tech!$H$2),O98),"")</f>
        <v>• [RFC 3647 - Internet X.509 Public Key Infrastructure Certificate Policy and Certification Practices Framework](https://tools.ietf.org/html/rfc3647)</v>
      </c>
      <c r="T98" t="s">
        <v>495</v>
      </c>
      <c r="U98" s="492"/>
      <c r="V98" t="str">
        <f t="shared" si="112"/>
        <v>List of relevant laws, regulations, and standards, exist and is maintained</v>
      </c>
      <c r="W98" t="str">
        <f t="shared" si="160"/>
        <v>Guidance</v>
      </c>
      <c r="X98" t="str">
        <f t="shared" si="133"/>
        <v>1.3.4.GY</v>
      </c>
      <c r="Y98" t="str">
        <f>IF(AND(U98&lt;&gt;"",LEFT(U98,1)&lt;&gt;"#"),IF(LEFT(U98,1)="-",REPLACE(U98,1,1,tech!$H$2),U98),"")</f>
        <v/>
      </c>
      <c r="Z98" t="s">
        <v>495</v>
      </c>
      <c r="AA98" s="492" t="s">
        <v>676</v>
      </c>
      <c r="AB98" t="str">
        <f t="shared" si="113"/>
        <v>Evidence from procedures is collected and maintained</v>
      </c>
      <c r="AC98" t="str">
        <f t="shared" si="161"/>
        <v>Assessment</v>
      </c>
      <c r="AD98" t="str">
        <f t="shared" si="135"/>
        <v>1.4.4.AY</v>
      </c>
      <c r="AE98" t="str">
        <f>IF(AND(AA98&lt;&gt;"",LEFT(AA98,1)&lt;&gt;"#"),IF(LEFT(AA98,1)="-",REPLACE(AA98,1,1,tech!$H$2),AA98),"")</f>
        <v>• Logs, reports, notes, screenshots, and other evidence</v>
      </c>
      <c r="AF98" t="s">
        <v>495</v>
      </c>
      <c r="AG98" s="492" t="s">
        <v>498</v>
      </c>
      <c r="AH98" t="str">
        <f t="shared" si="114"/>
        <v>Each cryptographic key is defined and has documented lifecycle procedures</v>
      </c>
      <c r="AI98" t="str">
        <f t="shared" si="162"/>
        <v>Guidance</v>
      </c>
      <c r="AJ98" t="str">
        <f t="shared" si="137"/>
        <v>2.1.4.GX</v>
      </c>
      <c r="AK98" t="str">
        <f>IF(AND(AG98&lt;&gt;"",LEFT(AG98,1)&lt;&gt;"#"),IF(LEFT(AG98,1)="-",REPLACE(AG98,1,1,tech!$H$2),AG98),"")</f>
        <v/>
      </c>
      <c r="AL98" t="s">
        <v>495</v>
      </c>
      <c r="AM98" s="492" t="s">
        <v>829</v>
      </c>
      <c r="AN98" t="str">
        <f t="shared" si="115"/>
        <v>Certificate lifecycle management is documented</v>
      </c>
      <c r="AO98" t="str">
        <f t="shared" si="163"/>
        <v>Assessment</v>
      </c>
      <c r="AP98" t="str">
        <f t="shared" si="139"/>
        <v>2.2.3.AY</v>
      </c>
      <c r="AQ98" t="str">
        <f>IF(AND(AM98&lt;&gt;"",LEFT(AM98,1)&lt;&gt;"#"),IF(LEFT(AM98,1)="-",REPLACE(AM98,1,1,tech!$H$2),AM98),"")</f>
        <v xml:space="preserve">  * Documented criticality of expiration for different use cases</v>
      </c>
      <c r="AR98" t="s">
        <v>495</v>
      </c>
      <c r="AS98" s="492"/>
      <c r="AT98" t="str">
        <f t="shared" si="116"/>
        <v>Network vulnerability management is implemented and maintained</v>
      </c>
      <c r="AU98" t="str">
        <f t="shared" si="164"/>
        <v>References</v>
      </c>
      <c r="AV98" t="str">
        <f t="shared" si="141"/>
        <v>2.3.3.RX</v>
      </c>
      <c r="AW98" t="str">
        <f>IF(AND(AS98&lt;&gt;"",LEFT(AS98,1)&lt;&gt;"#"),IF(LEFT(AS98,1)="-",REPLACE(AS98,1,1,tech!$H$2),AS98),"")</f>
        <v/>
      </c>
      <c r="AX98" t="s">
        <v>495</v>
      </c>
      <c r="AY98" s="492" t="s">
        <v>503</v>
      </c>
      <c r="AZ98" t="str">
        <f t="shared" si="117"/>
        <v>The change management process is documented and implemented</v>
      </c>
      <c r="BA98" t="str">
        <f t="shared" si="165"/>
        <v>References</v>
      </c>
      <c r="BB98" t="str">
        <f t="shared" si="143"/>
        <v>2.4.3.RX</v>
      </c>
      <c r="BC98" t="str">
        <f>IF(AND(AY98&lt;&gt;"",LEFT(AY98,1)&lt;&gt;"#"),IF(LEFT(AY98,1)="-",REPLACE(AY98,1,1,tech!$H$2),AY98),"")</f>
        <v/>
      </c>
      <c r="BD98" t="s">
        <v>495</v>
      </c>
      <c r="BE98" s="492" t="s">
        <v>1035</v>
      </c>
      <c r="BF98" t="str">
        <f t="shared" si="118"/>
        <v>Business continuity planning and disaster recovery</v>
      </c>
      <c r="BG98" t="str">
        <f t="shared" si="166"/>
        <v>References</v>
      </c>
      <c r="BH98" t="str">
        <f t="shared" si="145"/>
        <v>3.1.3.RY</v>
      </c>
      <c r="BI98" t="str">
        <f>IF(AND(BE98&lt;&gt;"",LEFT(BE98,1)&lt;&gt;"#"),IF(LEFT(BE98,1)="-",REPLACE(BE98,1,1,tech!$H$2),BE98),"")</f>
        <v>• [ISO/IEC 22301 - Business continuity management systems](https://www.iso.org/standard/50056.html)</v>
      </c>
      <c r="BJ98" t="s">
        <v>495</v>
      </c>
      <c r="BK98" s="492"/>
      <c r="BL98" t="str">
        <f t="shared" si="119"/>
        <v>Adoption and application of open standards</v>
      </c>
      <c r="BM98" t="str">
        <f t="shared" si="167"/>
        <v>References</v>
      </c>
      <c r="BN98" t="str">
        <f t="shared" si="147"/>
        <v>3.2.3.RX</v>
      </c>
      <c r="BO98" t="str">
        <f>IF(AND(BK98&lt;&gt;"",LEFT(BK98,1)&lt;&gt;"#"),IF(LEFT(BK98,1)="-",REPLACE(BK98,1,1,tech!$H$2),BK98),"")</f>
        <v/>
      </c>
      <c r="BP98" t="s">
        <v>495</v>
      </c>
      <c r="BQ98" s="492" t="s">
        <v>1198</v>
      </c>
      <c r="BR98" t="str">
        <f t="shared" si="120"/>
        <v>Audit trail can be reconstructed from audit logs</v>
      </c>
      <c r="BS98" t="str">
        <f t="shared" si="168"/>
        <v>Assessment</v>
      </c>
      <c r="BT98" t="str">
        <f t="shared" si="149"/>
        <v>3.3.3.AY</v>
      </c>
      <c r="BU98" t="str">
        <f>IF(AND(BQ98&lt;&gt;"",LEFT(BQ98,1)&lt;&gt;"#"),IF(LEFT(BQ98,1)="-",REPLACE(BQ98,1,1,tech!$H$2),BQ98),"")</f>
        <v>• Audit logs are stored in a secure location</v>
      </c>
      <c r="BV98" t="s">
        <v>495</v>
      </c>
      <c r="BW98" s="492"/>
      <c r="BX98" t="str">
        <f t="shared" si="121"/>
        <v>Incidents and exceptions handling</v>
      </c>
      <c r="BY98" t="str">
        <f t="shared" si="169"/>
        <v>References</v>
      </c>
      <c r="BZ98" t="str">
        <f t="shared" si="151"/>
        <v>3.4.3.RX</v>
      </c>
      <c r="CA98" t="str">
        <f>IF(AND(BW98&lt;&gt;"",LEFT(BW98,1)&lt;&gt;"#"),IF(LEFT(BW98,1)="-",REPLACE(BW98,1,1,tech!$H$2),BW98),"")</f>
        <v/>
      </c>
      <c r="CB98" t="s">
        <v>495</v>
      </c>
      <c r="CC98" s="492" t="s">
        <v>1283</v>
      </c>
      <c r="CD98" t="str">
        <f t="shared" si="122"/>
        <v>Resources are periodically reviewed</v>
      </c>
      <c r="CE98" t="str">
        <f t="shared" si="170"/>
        <v>Assessment</v>
      </c>
      <c r="CF98" t="str">
        <f t="shared" si="153"/>
        <v>4.1.4.AY</v>
      </c>
      <c r="CG98" t="str">
        <f>IF(AND(CC98&lt;&gt;"",LEFT(CC98,1)&lt;&gt;"#"),IF(LEFT(CC98,1)="-",REPLACE(CC98,1,1,tech!$H$2),CC98),"")</f>
        <v>• skills and knowledge of the personnel</v>
      </c>
      <c r="CH98" t="s">
        <v>495</v>
      </c>
      <c r="CI98" s="492" t="s">
        <v>1346</v>
      </c>
      <c r="CJ98" t="str">
        <f t="shared" si="123"/>
        <v>Perform security awareness training</v>
      </c>
      <c r="CK98" t="str">
        <f t="shared" si="171"/>
        <v>Assessment</v>
      </c>
      <c r="CL98" t="str">
        <f t="shared" si="155"/>
        <v>4.2.3.AY</v>
      </c>
      <c r="CM98" t="str">
        <f>IF(AND(CI98&lt;&gt;"",LEFT(CI98,1)&lt;&gt;"#"),IF(LEFT(CI98,1)="-",REPLACE(CI98,1,1,tech!$H$2),CI98),"")</f>
        <v>• Examine Security awareness program</v>
      </c>
      <c r="CN98" t="s">
        <v>495</v>
      </c>
      <c r="CO98" s="492" t="s">
        <v>519</v>
      </c>
      <c r="CP98" t="str">
        <f t="shared" si="124"/>
        <v>Establish single point of contact</v>
      </c>
      <c r="CQ98" t="str">
        <f t="shared" si="172"/>
        <v>References</v>
      </c>
      <c r="CR98" t="str">
        <f t="shared" si="157"/>
        <v>4.3.3.RY</v>
      </c>
      <c r="CS98" t="str">
        <f>IF(AND(CO98&lt;&gt;"",LEFT(CO98,1)&lt;&gt;"#"),IF(LEFT(CO98,1)="-",REPLACE(CO98,1,1,tech!$H$2),CO98),"")</f>
        <v>• [ETSI EN 319 401 - General Policy Requirements for Trust Service Providers](https://www.etsi.org/deliver/etsi_en/319400_319499/319401/02.03.01_60/en_319401v020301p.pdf)</v>
      </c>
      <c r="CT98" t="s">
        <v>495</v>
      </c>
    </row>
    <row r="99" spans="3:98" x14ac:dyDescent="0.25">
      <c r="C99" s="492"/>
      <c r="D99" t="str">
        <f t="shared" si="173"/>
        <v>Optimized</v>
      </c>
      <c r="E99" t="str">
        <f t="shared" si="174"/>
        <v>Associated risks</v>
      </c>
      <c r="F99" t="str">
        <f>_xlfn.CONCAT(VLOOKUP(D99,tech!$A$13:$B$17,2,0),LEFT(E99,1),IF(G99="","X","Y"))</f>
        <v>5AX</v>
      </c>
      <c r="G99" t="str">
        <f>IF(IF(LEFT(C99,1)="-",C99,"")="","",REPLACE(IF(LEFT(C99,1)="-",C99,""),1,1,tech!$H$2))</f>
        <v/>
      </c>
      <c r="H99" t="s">
        <v>495</v>
      </c>
      <c r="I99" s="492" t="s">
        <v>538</v>
      </c>
      <c r="J99" t="str">
        <f t="shared" si="127"/>
        <v>Architecture and design of the PKI</v>
      </c>
      <c r="K99" t="str">
        <f t="shared" si="158"/>
        <v>Assessment</v>
      </c>
      <c r="L99" t="str">
        <f t="shared" si="129"/>
        <v>1.1.4.AY</v>
      </c>
      <c r="M99" t="str">
        <f>IF(AND(I99&lt;&gt;"",LEFT(I99,1)&lt;&gt;"#"),IF(LEFT(I99,1)="-",REPLACE(I99,1,1,tech!$H$2),I99),"")</f>
        <v>• Documented architecture and design</v>
      </c>
      <c r="N99" t="s">
        <v>495</v>
      </c>
      <c r="O99" s="492" t="s">
        <v>504</v>
      </c>
      <c r="P99" t="str">
        <f t="shared" si="111"/>
        <v>Certification practice statement is documented and published</v>
      </c>
      <c r="Q99" t="str">
        <f t="shared" si="159"/>
        <v>References</v>
      </c>
      <c r="R99" t="str">
        <f t="shared" si="131"/>
        <v>1.2.3.RY</v>
      </c>
      <c r="S99" t="str">
        <f>IF(AND(O99&lt;&gt;"",LEFT(O99,1)&lt;&gt;"#"),IF(LEFT(O99,1)="-",REPLACE(O99,1,1,tech!$H$2),O99),"")</f>
        <v>• [ISO/IEC 27001 - Information security management systems](https://www.iso.org/standard/54534.html)</v>
      </c>
      <c r="T99" t="s">
        <v>495</v>
      </c>
      <c r="U99" s="492" t="s">
        <v>644</v>
      </c>
      <c r="V99" t="str">
        <f t="shared" si="112"/>
        <v>List of relevant laws, regulations, and standards, exist and is maintained</v>
      </c>
      <c r="W99" t="str">
        <f t="shared" si="160"/>
        <v>Guidance</v>
      </c>
      <c r="X99" t="str">
        <f t="shared" si="133"/>
        <v>1.3.4.GY</v>
      </c>
      <c r="Y99" t="str">
        <f>IF(AND(U99&lt;&gt;"",LEFT(U99,1)&lt;&gt;"#"),IF(LEFT(U99,1)="-",REPLACE(U99,1,1,tech!$H$2),U99),"")</f>
        <v>And, many times, a PKI will make use of hardware cryptographic modules for key generation and storage.  Therefore, it’s critical to ensure that the hardware cryptographic modules comply with the relevant standards. There are many laws, regulations and standards that apply to PKI.  As such, it is necessary to maintain a list of the ones that are relevant to your organization to help ensure that none are being overlooked.</v>
      </c>
      <c r="Z99" t="s">
        <v>495</v>
      </c>
      <c r="AA99" s="492"/>
      <c r="AB99" t="str">
        <f t="shared" si="113"/>
        <v>Evidence from procedures is collected and maintained</v>
      </c>
      <c r="AC99" t="str">
        <f t="shared" si="161"/>
        <v>Assessment</v>
      </c>
      <c r="AD99" t="str">
        <f t="shared" si="135"/>
        <v>1.4.4.AX</v>
      </c>
      <c r="AE99" t="str">
        <f>IF(AND(AA99&lt;&gt;"",LEFT(AA99,1)&lt;&gt;"#"),IF(LEFT(AA99,1)="-",REPLACE(AA99,1,1,tech!$H$2),AA99),"")</f>
        <v/>
      </c>
      <c r="AF99" t="s">
        <v>495</v>
      </c>
      <c r="AG99" s="492"/>
      <c r="AH99" t="str">
        <f t="shared" si="114"/>
        <v>Each cryptographic key is defined and has documented lifecycle procedures</v>
      </c>
      <c r="AI99" t="str">
        <f t="shared" si="162"/>
        <v>Guidance</v>
      </c>
      <c r="AJ99" t="str">
        <f t="shared" si="137"/>
        <v>2.1.4.GX</v>
      </c>
      <c r="AK99" t="str">
        <f>IF(AND(AG99&lt;&gt;"",LEFT(AG99,1)&lt;&gt;"#"),IF(LEFT(AG99,1)="-",REPLACE(AG99,1,1,tech!$H$2),AG99),"")</f>
        <v/>
      </c>
      <c r="AL99" t="s">
        <v>495</v>
      </c>
      <c r="AM99" s="492" t="s">
        <v>830</v>
      </c>
      <c r="AN99" t="str">
        <f t="shared" si="115"/>
        <v>Certificate lifecycle management is documented</v>
      </c>
      <c r="AO99" t="str">
        <f t="shared" si="163"/>
        <v>Assessment</v>
      </c>
      <c r="AP99" t="str">
        <f t="shared" si="139"/>
        <v>2.2.3.AY</v>
      </c>
      <c r="AQ99" t="str">
        <f>IF(AND(AM99&lt;&gt;"",LEFT(AM99,1)&lt;&gt;"#"),IF(LEFT(AM99,1)="-",REPLACE(AM99,1,1,tech!$H$2),AM99),"")</f>
        <v xml:space="preserve">  * Automated monitoring and alerting of expiration for critical systems</v>
      </c>
      <c r="AR99" t="s">
        <v>495</v>
      </c>
      <c r="AS99" s="492" t="s">
        <v>906</v>
      </c>
      <c r="AT99" t="str">
        <f t="shared" si="116"/>
        <v>Network vulnerability management is implemented and maintained</v>
      </c>
      <c r="AU99" t="str">
        <f t="shared" si="164"/>
        <v>References</v>
      </c>
      <c r="AV99" t="str">
        <f t="shared" si="141"/>
        <v>2.3.3.RY</v>
      </c>
      <c r="AW99" t="str">
        <f>IF(AND(AS99&lt;&gt;"",LEFT(AS99,1)&lt;&gt;"#"),IF(LEFT(AS99,1)="-",REPLACE(AS99,1,1,tech!$H$2),AS99),"")</f>
        <v>• [Common Vulnerability Scoring System (CVSS)](https://www.first.org/cvss/)</v>
      </c>
      <c r="AX99" t="s">
        <v>495</v>
      </c>
      <c r="AY99" s="492"/>
      <c r="AZ99" t="str">
        <f t="shared" si="117"/>
        <v>The change management process is documented and implemented</v>
      </c>
      <c r="BA99" t="str">
        <f t="shared" si="165"/>
        <v>References</v>
      </c>
      <c r="BB99" t="str">
        <f t="shared" si="143"/>
        <v>2.4.3.RX</v>
      </c>
      <c r="BC99" t="str">
        <f>IF(AND(AY99&lt;&gt;"",LEFT(AY99,1)&lt;&gt;"#"),IF(LEFT(AY99,1)="-",REPLACE(AY99,1,1,tech!$H$2),AY99),"")</f>
        <v/>
      </c>
      <c r="BD99" t="s">
        <v>495</v>
      </c>
      <c r="BE99" s="492" t="s">
        <v>1036</v>
      </c>
      <c r="BF99" t="str">
        <f t="shared" si="118"/>
        <v>Business continuity planning and disaster recovery</v>
      </c>
      <c r="BG99" t="str">
        <f t="shared" si="166"/>
        <v>References</v>
      </c>
      <c r="BH99" t="str">
        <f t="shared" si="145"/>
        <v>3.1.3.RY</v>
      </c>
      <c r="BI99" t="str">
        <f>IF(AND(BE99&lt;&gt;"",LEFT(BE99,1)&lt;&gt;"#"),IF(LEFT(BE99,1)="-",REPLACE(BE99,1,1,tech!$H$2),BE99),"")</f>
        <v>• [NIST Special Publication 800-34 Revision 1 - Contingency Planning Guide for Federal Information Systems](https://csrc.nist.gov/publications/detail/sp/800-34/rev-1/final)</v>
      </c>
      <c r="BJ99" t="s">
        <v>495</v>
      </c>
      <c r="BK99" s="492"/>
      <c r="BL99" t="str">
        <f t="shared" si="119"/>
        <v>Adoption and application of open standards</v>
      </c>
      <c r="BM99" t="str">
        <f t="shared" si="167"/>
        <v>References</v>
      </c>
      <c r="BN99" t="str">
        <f t="shared" si="147"/>
        <v>3.2.3.RX</v>
      </c>
      <c r="BO99" t="str">
        <f>IF(AND(BK99&lt;&gt;"",LEFT(BK99,1)&lt;&gt;"#"),IF(LEFT(BK99,1)="-",REPLACE(BK99,1,1,tech!$H$2),BK99),"")</f>
        <v/>
      </c>
      <c r="BP99" t="s">
        <v>495</v>
      </c>
      <c r="BQ99" s="492" t="s">
        <v>1159</v>
      </c>
      <c r="BR99" t="str">
        <f t="shared" si="120"/>
        <v>Audit trail can be reconstructed from audit logs</v>
      </c>
      <c r="BS99" t="str">
        <f t="shared" si="168"/>
        <v>Assessment</v>
      </c>
      <c r="BT99" t="str">
        <f t="shared" si="149"/>
        <v>3.3.3.AY</v>
      </c>
      <c r="BU99" t="str">
        <f>IF(AND(BQ99&lt;&gt;"",LEFT(BQ99,1)&lt;&gt;"#"),IF(LEFT(BQ99,1)="-",REPLACE(BQ99,1,1,tech!$H$2),BQ99),"")</f>
        <v>• Audit logs are protected against unauthorized access, modification, and deletion</v>
      </c>
      <c r="BV99" t="s">
        <v>495</v>
      </c>
      <c r="BW99" s="492"/>
      <c r="BX99" t="str">
        <f t="shared" si="121"/>
        <v>Incidents and exceptions handling</v>
      </c>
      <c r="BY99" t="str">
        <f t="shared" si="169"/>
        <v>References</v>
      </c>
      <c r="BZ99" t="str">
        <f t="shared" si="151"/>
        <v>3.4.3.RX</v>
      </c>
      <c r="CA99" t="str">
        <f>IF(AND(BW99&lt;&gt;"",LEFT(BW99,1)&lt;&gt;"#"),IF(LEFT(BW99,1)="-",REPLACE(BW99,1,1,tech!$H$2),BW99),"")</f>
        <v/>
      </c>
      <c r="CB99" t="s">
        <v>495</v>
      </c>
      <c r="CC99" s="492"/>
      <c r="CD99" t="str">
        <f t="shared" si="122"/>
        <v>Resources are periodically reviewed</v>
      </c>
      <c r="CE99" t="str">
        <f t="shared" si="170"/>
        <v>Assessment</v>
      </c>
      <c r="CF99" t="str">
        <f t="shared" si="153"/>
        <v>4.1.4.AX</v>
      </c>
      <c r="CG99" t="str">
        <f>IF(AND(CC99&lt;&gt;"",LEFT(CC99,1)&lt;&gt;"#"),IF(LEFT(CC99,1)="-",REPLACE(CC99,1,1,tech!$H$2),CC99),"")</f>
        <v/>
      </c>
      <c r="CH99" t="s">
        <v>495</v>
      </c>
      <c r="CI99" s="492" t="s">
        <v>1347</v>
      </c>
      <c r="CJ99" t="str">
        <f t="shared" si="123"/>
        <v>Perform security awareness training</v>
      </c>
      <c r="CK99" t="str">
        <f t="shared" si="171"/>
        <v>Assessment</v>
      </c>
      <c r="CL99" t="str">
        <f t="shared" si="155"/>
        <v>4.2.3.AY</v>
      </c>
      <c r="CM99" t="str">
        <f>IF(AND(CI99&lt;&gt;"",LEFT(CI99,1)&lt;&gt;"#"),IF(LEFT(CI99,1)="-",REPLACE(CI99,1,1,tech!$H$2),CI99),"")</f>
        <v>• Interview personnel to verify that they are aware of their responsibilities</v>
      </c>
      <c r="CN99" t="s">
        <v>495</v>
      </c>
      <c r="CO99" s="492"/>
      <c r="CP99" t="str">
        <f t="shared" si="124"/>
        <v>Establish single point of contact</v>
      </c>
      <c r="CQ99" t="str">
        <f t="shared" si="172"/>
        <v>References</v>
      </c>
      <c r="CR99" t="str">
        <f t="shared" si="157"/>
        <v>4.3.3.RX</v>
      </c>
      <c r="CS99" t="str">
        <f>IF(AND(CO99&lt;&gt;"",LEFT(CO99,1)&lt;&gt;"#"),IF(LEFT(CO99,1)="-",REPLACE(CO99,1,1,tech!$H$2),CO99),"")</f>
        <v/>
      </c>
      <c r="CT99" t="s">
        <v>495</v>
      </c>
    </row>
    <row r="100" spans="3:98" x14ac:dyDescent="0.25">
      <c r="C100" s="492"/>
      <c r="D100" t="str">
        <f t="shared" si="173"/>
        <v>Optimized</v>
      </c>
      <c r="E100" t="str">
        <f t="shared" si="174"/>
        <v>Associated risks</v>
      </c>
      <c r="F100" t="str">
        <f>_xlfn.CONCAT(VLOOKUP(D100,tech!$A$13:$B$17,2,0),LEFT(E100,1),IF(G100="","X","Y"))</f>
        <v>5AX</v>
      </c>
      <c r="G100" t="str">
        <f>IF(IF(LEFT(C100,1)="-",C100,"")="","",REPLACE(IF(LEFT(C100,1)="-",C100,""),1,1,tech!$H$2))</f>
        <v/>
      </c>
      <c r="H100" t="s">
        <v>495</v>
      </c>
      <c r="I100" s="492" t="s">
        <v>539</v>
      </c>
      <c r="J100" t="str">
        <f t="shared" si="127"/>
        <v>Architecture and design of the PKI</v>
      </c>
      <c r="K100" t="str">
        <f t="shared" si="158"/>
        <v>Assessment</v>
      </c>
      <c r="L100" t="str">
        <f t="shared" si="129"/>
        <v>1.1.4.AY</v>
      </c>
      <c r="M100" t="str">
        <f>IF(AND(I100&lt;&gt;"",LEFT(I100,1)&lt;&gt;"#"),IF(LEFT(I100,1)="-",REPLACE(I100,1,1,tech!$H$2),I100),"")</f>
        <v>• alignment with the scope and business drivers</v>
      </c>
      <c r="N100" t="s">
        <v>495</v>
      </c>
      <c r="O100" s="492" t="s">
        <v>558</v>
      </c>
      <c r="P100" t="str">
        <f t="shared" si="111"/>
        <v>Certification practice statement is documented and published</v>
      </c>
      <c r="Q100" t="str">
        <f t="shared" si="159"/>
        <v>References</v>
      </c>
      <c r="R100" t="str">
        <f t="shared" si="131"/>
        <v>1.2.3.RY</v>
      </c>
      <c r="S100" t="str">
        <f>IF(AND(O100&lt;&gt;"",LEFT(O100,1)&lt;&gt;"#"),IF(LEFT(O100,1)="-",REPLACE(O100,1,1,tech!$H$2),O100),"")</f>
        <v>• [ETSI EN 319 411-1 - Policy and security requirements for Trust Service Providers issuing certificates](https://www.etsi.org/deliver/etsi_en/319400_319499/31941101/01.03.01_60/en_31941101v010301p.pdf)</v>
      </c>
      <c r="T100" t="s">
        <v>495</v>
      </c>
      <c r="U100" s="492"/>
      <c r="V100" t="str">
        <f t="shared" si="112"/>
        <v>List of relevant laws, regulations, and standards, exist and is maintained</v>
      </c>
      <c r="W100" t="str">
        <f t="shared" si="160"/>
        <v>Guidance</v>
      </c>
      <c r="X100" t="str">
        <f t="shared" si="133"/>
        <v>1.3.4.GX</v>
      </c>
      <c r="Y100" t="str">
        <f>IF(AND(U100&lt;&gt;"",LEFT(U100,1)&lt;&gt;"#"),IF(LEFT(U100,1)="-",REPLACE(U100,1,1,tech!$H$2),U100),"")</f>
        <v/>
      </c>
      <c r="Z100" t="s">
        <v>495</v>
      </c>
      <c r="AA100" s="492" t="s">
        <v>503</v>
      </c>
      <c r="AB100" t="str">
        <f t="shared" si="113"/>
        <v>Evidence from procedures is collected and maintained</v>
      </c>
      <c r="AC100" t="str">
        <f t="shared" si="161"/>
        <v>References</v>
      </c>
      <c r="AD100" t="str">
        <f t="shared" si="135"/>
        <v>1.4.4.RX</v>
      </c>
      <c r="AE100" t="str">
        <f>IF(AND(AA100&lt;&gt;"",LEFT(AA100,1)&lt;&gt;"#"),IF(LEFT(AA100,1)="-",REPLACE(AA100,1,1,tech!$H$2),AA100),"")</f>
        <v/>
      </c>
      <c r="AF100" t="s">
        <v>495</v>
      </c>
      <c r="AG100" s="492" t="s">
        <v>722</v>
      </c>
      <c r="AH100" t="str">
        <f t="shared" si="114"/>
        <v>Each cryptographic key is defined and has documented lifecycle procedures</v>
      </c>
      <c r="AI100" t="str">
        <f t="shared" si="162"/>
        <v>Guidance</v>
      </c>
      <c r="AJ100" t="str">
        <f t="shared" si="137"/>
        <v>2.1.4.GY</v>
      </c>
      <c r="AK100" t="str">
        <f>IF(AND(AG100&lt;&gt;"",LEFT(AG100,1)&lt;&gt;"#"),IF(LEFT(AG100,1)="-",REPLACE(AG100,1,1,tech!$H$2),AG100),"")</f>
        <v>Each cryptographic key type that is defined and used for specific use-case should have a complete description of its lifecycle. Each lifecycle phase has a proper description of the process and is backed up with the procedure that is executed when needed.</v>
      </c>
      <c r="AL100" t="s">
        <v>495</v>
      </c>
      <c r="AM100" s="492" t="s">
        <v>831</v>
      </c>
      <c r="AN100" t="str">
        <f t="shared" si="115"/>
        <v>Certificate lifecycle management is documented</v>
      </c>
      <c r="AO100" t="str">
        <f t="shared" si="163"/>
        <v>Assessment</v>
      </c>
      <c r="AP100" t="str">
        <f t="shared" si="139"/>
        <v>2.2.3.AY</v>
      </c>
      <c r="AQ100" t="str">
        <f>IF(AND(AM100&lt;&gt;"",LEFT(AM100,1)&lt;&gt;"#"),IF(LEFT(AM100,1)="-",REPLACE(AM100,1,1,tech!$H$2),AM100),"")</f>
        <v xml:space="preserve">  * Automated certificate renewal</v>
      </c>
      <c r="AR100" t="s">
        <v>495</v>
      </c>
      <c r="AS100" s="492" t="s">
        <v>896</v>
      </c>
      <c r="AT100" t="str">
        <f t="shared" si="116"/>
        <v>Network vulnerability management is implemented and maintained</v>
      </c>
      <c r="AU100" t="str">
        <f t="shared" si="164"/>
        <v>References</v>
      </c>
      <c r="AV100" t="str">
        <f t="shared" si="141"/>
        <v>2.3.3.RY</v>
      </c>
      <c r="AW100" t="str">
        <f>IF(AND(AS100&lt;&gt;"",LEFT(AS100,1)&lt;&gt;"#"),IF(LEFT(AS100,1)="-",REPLACE(AS100,1,1,tech!$H$2),AS100),"")</f>
        <v>• [ISO/IEC 20000 and related standards](https://www.iso.org/standard/70636.html)</v>
      </c>
      <c r="AX100" t="s">
        <v>495</v>
      </c>
      <c r="AY100" s="492" t="s">
        <v>964</v>
      </c>
      <c r="AZ100" t="str">
        <f t="shared" si="117"/>
        <v>The change management process is documented and implemented</v>
      </c>
      <c r="BA100" t="str">
        <f t="shared" si="165"/>
        <v>References</v>
      </c>
      <c r="BB100" t="str">
        <f t="shared" si="143"/>
        <v>2.4.3.RY</v>
      </c>
      <c r="BC100" t="str">
        <f>IF(AND(AY100&lt;&gt;"",LEFT(AY100,1)&lt;&gt;"#"),IF(LEFT(AY100,1)="-",REPLACE(AY100,1,1,tech!$H$2),AY100),"")</f>
        <v>• [COBIT (Control Objectives for Information and Related Technologies)](https://www.isaca.org/resources/cobit)</v>
      </c>
      <c r="BD100" t="s">
        <v>495</v>
      </c>
      <c r="BE100" s="492"/>
      <c r="BF100" t="str">
        <f t="shared" si="118"/>
        <v>Business continuity planning and disaster recovery</v>
      </c>
      <c r="BG100" t="str">
        <f t="shared" si="166"/>
        <v>References</v>
      </c>
      <c r="BH100" t="str">
        <f t="shared" si="145"/>
        <v>3.1.3.RX</v>
      </c>
      <c r="BI100" t="str">
        <f>IF(AND(BE100&lt;&gt;"",LEFT(BE100,1)&lt;&gt;"#"),IF(LEFT(BE100,1)="-",REPLACE(BE100,1,1,tech!$H$2),BE100),"")</f>
        <v/>
      </c>
      <c r="BJ100" t="s">
        <v>495</v>
      </c>
      <c r="BK100" s="492"/>
      <c r="BL100" t="str">
        <f t="shared" si="119"/>
        <v>Adoption and application of open standards</v>
      </c>
      <c r="BM100" t="str">
        <f t="shared" si="167"/>
        <v>References</v>
      </c>
      <c r="BN100" t="str">
        <f t="shared" si="147"/>
        <v>3.2.3.RX</v>
      </c>
      <c r="BO100" t="str">
        <f>IF(AND(BK100&lt;&gt;"",LEFT(BK100,1)&lt;&gt;"#"),IF(LEFT(BK100,1)="-",REPLACE(BK100,1,1,tech!$H$2),BK100),"")</f>
        <v/>
      </c>
      <c r="BP100" t="s">
        <v>495</v>
      </c>
      <c r="BQ100" s="492" t="s">
        <v>1179</v>
      </c>
      <c r="BR100" t="str">
        <f t="shared" si="120"/>
        <v>Audit trail can be reconstructed from audit logs</v>
      </c>
      <c r="BS100" t="str">
        <f t="shared" si="168"/>
        <v>Assessment</v>
      </c>
      <c r="BT100" t="str">
        <f t="shared" si="149"/>
        <v>3.3.3.AY</v>
      </c>
      <c r="BU100" t="str">
        <f>IF(AND(BQ100&lt;&gt;"",LEFT(BQ100,1)&lt;&gt;"#"),IF(LEFT(BQ100,1)="-",REPLACE(BQ100,1,1,tech!$H$2),BQ100),"")</f>
        <v>• Review of records</v>
      </c>
      <c r="BV100" t="s">
        <v>495</v>
      </c>
      <c r="BW100" s="492"/>
      <c r="BX100" t="str">
        <f t="shared" si="121"/>
        <v>Incidents and exceptions handling</v>
      </c>
      <c r="BY100" t="str">
        <f t="shared" si="169"/>
        <v>References</v>
      </c>
      <c r="BZ100" t="str">
        <f t="shared" si="151"/>
        <v>3.4.3.RX</v>
      </c>
      <c r="CA100" t="str">
        <f>IF(AND(BW100&lt;&gt;"",LEFT(BW100,1)&lt;&gt;"#"),IF(LEFT(BW100,1)="-",REPLACE(BW100,1,1,tech!$H$2),BW100),"")</f>
        <v/>
      </c>
      <c r="CB100" t="s">
        <v>495</v>
      </c>
      <c r="CC100" s="492" t="s">
        <v>503</v>
      </c>
      <c r="CD100" t="str">
        <f t="shared" si="122"/>
        <v>Resources are periodically reviewed</v>
      </c>
      <c r="CE100" t="str">
        <f t="shared" si="170"/>
        <v>References</v>
      </c>
      <c r="CF100" t="str">
        <f t="shared" si="153"/>
        <v>4.1.4.RX</v>
      </c>
      <c r="CG100" t="str">
        <f>IF(AND(CC100&lt;&gt;"",LEFT(CC100,1)&lt;&gt;"#"),IF(LEFT(CC100,1)="-",REPLACE(CC100,1,1,tech!$H$2),CC100),"")</f>
        <v/>
      </c>
      <c r="CH100" t="s">
        <v>495</v>
      </c>
      <c r="CI100" s="492" t="s">
        <v>1348</v>
      </c>
      <c r="CJ100" t="str">
        <f t="shared" si="123"/>
        <v>Perform security awareness training</v>
      </c>
      <c r="CK100" t="str">
        <f t="shared" si="171"/>
        <v>Assessment</v>
      </c>
      <c r="CL100" t="str">
        <f t="shared" si="155"/>
        <v>4.2.3.AY</v>
      </c>
      <c r="CM100" t="str">
        <f>IF(AND(CI100&lt;&gt;"",LEFT(CI100,1)&lt;&gt;"#"),IF(LEFT(CI100,1)="-",REPLACE(CI100,1,1,tech!$H$2),CI100),"")</f>
        <v>• Review Security awareness Training records</v>
      </c>
      <c r="CN100" t="s">
        <v>495</v>
      </c>
      <c r="CO100" s="492" t="s">
        <v>1473</v>
      </c>
      <c r="CP100" t="str">
        <f t="shared" si="124"/>
        <v>Timely communication of important information</v>
      </c>
      <c r="CQ100" t="str">
        <f t="shared" si="172"/>
        <v>References</v>
      </c>
      <c r="CR100" t="str">
        <f t="shared" si="157"/>
        <v>4.3.4.RX</v>
      </c>
      <c r="CS100" t="str">
        <f>IF(AND(CO100&lt;&gt;"",LEFT(CO100,1)&lt;&gt;"#"),IF(LEFT(CO100,1)="-",REPLACE(CO100,1,1,tech!$H$2),CO100),"")</f>
        <v/>
      </c>
      <c r="CT100" t="s">
        <v>495</v>
      </c>
    </row>
    <row r="101" spans="3:98" x14ac:dyDescent="0.25">
      <c r="C101" s="492"/>
      <c r="D101" t="str">
        <f t="shared" si="173"/>
        <v>Optimized</v>
      </c>
      <c r="E101" t="str">
        <f t="shared" si="174"/>
        <v>Associated risks</v>
      </c>
      <c r="F101" t="str">
        <f>_xlfn.CONCAT(VLOOKUP(D101,tech!$A$13:$B$17,2,0),LEFT(E101,1),IF(G101="","X","Y"))</f>
        <v>5AX</v>
      </c>
      <c r="G101" t="str">
        <f>IF(IF(LEFT(C101,1)="-",C101,"")="","",REPLACE(IF(LEFT(C101,1)="-",C101,""),1,1,tech!$H$2))</f>
        <v/>
      </c>
      <c r="H101" t="s">
        <v>495</v>
      </c>
      <c r="I101" s="492" t="s">
        <v>540</v>
      </c>
      <c r="J101" t="str">
        <f t="shared" si="127"/>
        <v>Architecture and design of the PKI</v>
      </c>
      <c r="K101" t="str">
        <f t="shared" si="158"/>
        <v>Assessment</v>
      </c>
      <c r="L101" t="str">
        <f t="shared" si="129"/>
        <v>1.1.4.AY</v>
      </c>
      <c r="M101" t="str">
        <f>IF(AND(I101&lt;&gt;"",LEFT(I101,1)&lt;&gt;"#"),IF(LEFT(I101,1)="-",REPLACE(I101,1,1,tech!$H$2),I101),"")</f>
        <v>• Interview with the PKI team to confirm the Understanding of the architecture and design</v>
      </c>
      <c r="N101" t="s">
        <v>495</v>
      </c>
      <c r="O101" s="492"/>
      <c r="P101" t="str">
        <f t="shared" si="111"/>
        <v>Certification practice statement is documented and published</v>
      </c>
      <c r="Q101" t="str">
        <f t="shared" si="159"/>
        <v>References</v>
      </c>
      <c r="R101" t="str">
        <f t="shared" si="131"/>
        <v>1.2.3.RX</v>
      </c>
      <c r="S101" t="str">
        <f>IF(AND(O101&lt;&gt;"",LEFT(O101,1)&lt;&gt;"#"),IF(LEFT(O101,1)="-",REPLACE(O101,1,1,tech!$H$2),O101),"")</f>
        <v/>
      </c>
      <c r="T101" t="s">
        <v>495</v>
      </c>
      <c r="U101" s="492" t="s">
        <v>501</v>
      </c>
      <c r="V101" t="str">
        <f t="shared" si="112"/>
        <v>List of relevant laws, regulations, and standards, exist and is maintained</v>
      </c>
      <c r="W101" t="str">
        <f t="shared" si="160"/>
        <v>Assessment</v>
      </c>
      <c r="X101" t="str">
        <f t="shared" si="133"/>
        <v>1.3.4.AX</v>
      </c>
      <c r="Y101" t="str">
        <f>IF(AND(U101&lt;&gt;"",LEFT(U101,1)&lt;&gt;"#"),IF(LEFT(U101,1)="-",REPLACE(U101,1,1,tech!$H$2),U101),"")</f>
        <v/>
      </c>
      <c r="Z101" t="s">
        <v>495</v>
      </c>
      <c r="AA101" s="492"/>
      <c r="AB101" t="str">
        <f t="shared" si="113"/>
        <v>Evidence from procedures is collected and maintained</v>
      </c>
      <c r="AC101" t="str">
        <f t="shared" si="161"/>
        <v>References</v>
      </c>
      <c r="AD101" t="str">
        <f t="shared" si="135"/>
        <v>1.4.4.RX</v>
      </c>
      <c r="AE101" t="str">
        <f>IF(AND(AA101&lt;&gt;"",LEFT(AA101,1)&lt;&gt;"#"),IF(LEFT(AA101,1)="-",REPLACE(AA101,1,1,tech!$H$2),AA101),"")</f>
        <v/>
      </c>
      <c r="AF101" t="s">
        <v>495</v>
      </c>
      <c r="AG101" s="492"/>
      <c r="AH101" t="str">
        <f t="shared" si="114"/>
        <v>Each cryptographic key is defined and has documented lifecycle procedures</v>
      </c>
      <c r="AI101" t="str">
        <f t="shared" si="162"/>
        <v>Guidance</v>
      </c>
      <c r="AJ101" t="str">
        <f t="shared" si="137"/>
        <v>2.1.4.GY</v>
      </c>
      <c r="AK101" t="str">
        <f>IF(AND(AG101&lt;&gt;"",LEFT(AG101,1)&lt;&gt;"#"),IF(LEFT(AG101,1)="-",REPLACE(AG101,1,1,tech!$H$2),AG101),"")</f>
        <v/>
      </c>
      <c r="AL101" t="s">
        <v>495</v>
      </c>
      <c r="AM101" s="492" t="s">
        <v>832</v>
      </c>
      <c r="AN101" t="str">
        <f t="shared" si="115"/>
        <v>Certificate lifecycle management is documented</v>
      </c>
      <c r="AO101" t="str">
        <f t="shared" si="163"/>
        <v>Assessment</v>
      </c>
      <c r="AP101" t="str">
        <f t="shared" si="139"/>
        <v>2.2.3.AY</v>
      </c>
      <c r="AQ101" t="str">
        <f>IF(AND(AM101&lt;&gt;"",LEFT(AM101,1)&lt;&gt;"#"),IF(LEFT(AM101,1)="-",REPLACE(AM101,1,1,tech!$H$2),AM101),"")</f>
        <v>* Documented revocation process</v>
      </c>
      <c r="AR101" t="s">
        <v>495</v>
      </c>
      <c r="AS101" s="492" t="s">
        <v>504</v>
      </c>
      <c r="AT101" t="str">
        <f t="shared" si="116"/>
        <v>Network vulnerability management is implemented and maintained</v>
      </c>
      <c r="AU101" t="str">
        <f t="shared" si="164"/>
        <v>References</v>
      </c>
      <c r="AV101" t="str">
        <f t="shared" si="141"/>
        <v>2.3.3.RY</v>
      </c>
      <c r="AW101" t="str">
        <f>IF(AND(AS101&lt;&gt;"",LEFT(AS101,1)&lt;&gt;"#"),IF(LEFT(AS101,1)="-",REPLACE(AS101,1,1,tech!$H$2),AS101),"")</f>
        <v>• [ISO/IEC 27001 - Information security management systems](https://www.iso.org/standard/54534.html)</v>
      </c>
      <c r="AX101" t="s">
        <v>495</v>
      </c>
      <c r="AY101" s="492" t="s">
        <v>896</v>
      </c>
      <c r="AZ101" t="str">
        <f t="shared" si="117"/>
        <v>The change management process is documented and implemented</v>
      </c>
      <c r="BA101" t="str">
        <f t="shared" si="165"/>
        <v>References</v>
      </c>
      <c r="BB101" t="str">
        <f t="shared" si="143"/>
        <v>2.4.3.RY</v>
      </c>
      <c r="BC101" t="str">
        <f>IF(AND(AY101&lt;&gt;"",LEFT(AY101,1)&lt;&gt;"#"),IF(LEFT(AY101,1)="-",REPLACE(AY101,1,1,tech!$H$2),AY101),"")</f>
        <v>• [ISO/IEC 20000 and related standards](https://www.iso.org/standard/70636.html)</v>
      </c>
      <c r="BD101" t="s">
        <v>495</v>
      </c>
      <c r="BE101" s="492" t="s">
        <v>1037</v>
      </c>
      <c r="BF101" t="str">
        <f t="shared" si="118"/>
        <v>Technology future proofing</v>
      </c>
      <c r="BG101" t="str">
        <f t="shared" si="166"/>
        <v>References</v>
      </c>
      <c r="BH101" t="str">
        <f t="shared" si="145"/>
        <v>3.1.4.RX</v>
      </c>
      <c r="BI101" t="str">
        <f>IF(AND(BE101&lt;&gt;"",LEFT(BE101,1)&lt;&gt;"#"),IF(LEFT(BE101,1)="-",REPLACE(BE101,1,1,tech!$H$2),BE101),"")</f>
        <v/>
      </c>
      <c r="BJ101" t="s">
        <v>495</v>
      </c>
      <c r="BK101" s="492"/>
      <c r="BL101" t="str">
        <f t="shared" si="119"/>
        <v>Adoption and application of open standards</v>
      </c>
      <c r="BM101" t="str">
        <f t="shared" si="167"/>
        <v>References</v>
      </c>
      <c r="BN101" t="str">
        <f t="shared" si="147"/>
        <v>3.2.3.RX</v>
      </c>
      <c r="BO101" t="str">
        <f>IF(AND(BK101&lt;&gt;"",LEFT(BK101,1)&lt;&gt;"#"),IF(LEFT(BK101,1)="-",REPLACE(BK101,1,1,tech!$H$2),BK101),"")</f>
        <v/>
      </c>
      <c r="BP101" t="s">
        <v>495</v>
      </c>
      <c r="BQ101" s="492" t="s">
        <v>1199</v>
      </c>
      <c r="BR101" t="str">
        <f t="shared" si="120"/>
        <v>Audit trail can be reconstructed from audit logs</v>
      </c>
      <c r="BS101" t="str">
        <f t="shared" si="168"/>
        <v>Assessment</v>
      </c>
      <c r="BT101" t="str">
        <f t="shared" si="149"/>
        <v>3.3.3.AY</v>
      </c>
      <c r="BU101" t="str">
        <f>IF(AND(BQ101&lt;&gt;"",LEFT(BQ101,1)&lt;&gt;"#"),IF(LEFT(BQ101,1)="-",REPLACE(BQ101,1,1,tech!$H$2),BQ101),"")</f>
        <v>• Interviews with personnel to Understand the Audit logging implementation</v>
      </c>
      <c r="BV101" t="s">
        <v>495</v>
      </c>
      <c r="BW101" s="492"/>
      <c r="BX101" t="str">
        <f t="shared" si="121"/>
        <v>Incidents and exceptions handling</v>
      </c>
      <c r="BY101" t="str">
        <f t="shared" si="169"/>
        <v>References</v>
      </c>
      <c r="BZ101" t="str">
        <f t="shared" si="151"/>
        <v>3.4.3.RX</v>
      </c>
      <c r="CA101" t="str">
        <f>IF(AND(BW101&lt;&gt;"",LEFT(BW101,1)&lt;&gt;"#"),IF(LEFT(BW101,1)="-",REPLACE(BW101,1,1,tech!$H$2),BW101),"")</f>
        <v/>
      </c>
      <c r="CB101" t="s">
        <v>495</v>
      </c>
      <c r="CC101" s="492"/>
      <c r="CD101" t="str">
        <f t="shared" si="122"/>
        <v>Resources are periodically reviewed</v>
      </c>
      <c r="CE101" t="str">
        <f t="shared" si="170"/>
        <v>References</v>
      </c>
      <c r="CF101" t="str">
        <f t="shared" si="153"/>
        <v>4.1.4.RX</v>
      </c>
      <c r="CG101" t="str">
        <f>IF(AND(CC101&lt;&gt;"",LEFT(CC101,1)&lt;&gt;"#"),IF(LEFT(CC101,1)="-",REPLACE(CC101,1,1,tech!$H$2),CC101),"")</f>
        <v/>
      </c>
      <c r="CH101" t="s">
        <v>495</v>
      </c>
      <c r="CI101" s="492" t="s">
        <v>1349</v>
      </c>
      <c r="CJ101" t="str">
        <f t="shared" si="123"/>
        <v>Perform security awareness training</v>
      </c>
      <c r="CK101" t="str">
        <f t="shared" si="171"/>
        <v>Assessment</v>
      </c>
      <c r="CL101" t="str">
        <f t="shared" si="155"/>
        <v>4.2.3.AY</v>
      </c>
      <c r="CM101" t="str">
        <f>IF(AND(CI101&lt;&gt;"",LEFT(CI101,1)&lt;&gt;"#"),IF(LEFT(CI101,1)="-",REPLACE(CI101,1,1,tech!$H$2),CI101),"")</f>
        <v>• Security awareness Training is provided in accordance with the Training plan</v>
      </c>
      <c r="CN101" t="s">
        <v>495</v>
      </c>
      <c r="CO101" s="492"/>
      <c r="CP101" t="str">
        <f t="shared" si="124"/>
        <v>Timely communication of important information</v>
      </c>
      <c r="CQ101" t="str">
        <f t="shared" si="172"/>
        <v>References</v>
      </c>
      <c r="CR101" t="str">
        <f t="shared" si="157"/>
        <v>4.3.4.RX</v>
      </c>
      <c r="CS101" t="str">
        <f>IF(AND(CO101&lt;&gt;"",LEFT(CO101,1)&lt;&gt;"#"),IF(LEFT(CO101,1)="-",REPLACE(CO101,1,1,tech!$H$2),CO101),"")</f>
        <v/>
      </c>
      <c r="CT101" t="s">
        <v>495</v>
      </c>
    </row>
    <row r="102" spans="3:98" x14ac:dyDescent="0.25">
      <c r="C102" s="492"/>
      <c r="D102" t="str">
        <f t="shared" si="173"/>
        <v>Optimized</v>
      </c>
      <c r="E102" t="str">
        <f t="shared" si="174"/>
        <v>Associated risks</v>
      </c>
      <c r="F102" t="str">
        <f>_xlfn.CONCAT(VLOOKUP(D102,tech!$A$13:$B$17,2,0),LEFT(E102,1),IF(G102="","X","Y"))</f>
        <v>5AX</v>
      </c>
      <c r="G102" t="str">
        <f>IF(IF(LEFT(C102,1)="-",C102,"")="","",REPLACE(IF(LEFT(C102,1)="-",C102,""),1,1,tech!$H$2))</f>
        <v/>
      </c>
      <c r="H102" t="s">
        <v>495</v>
      </c>
      <c r="I102" s="492"/>
      <c r="J102" t="str">
        <f t="shared" si="127"/>
        <v>Architecture and design of the PKI</v>
      </c>
      <c r="K102" t="str">
        <f t="shared" si="158"/>
        <v>Assessment</v>
      </c>
      <c r="L102" t="str">
        <f t="shared" si="129"/>
        <v>1.1.4.AX</v>
      </c>
      <c r="M102" t="str">
        <f>IF(AND(I102&lt;&gt;"",LEFT(I102,1)&lt;&gt;"#"),IF(LEFT(I102,1)="-",REPLACE(I102,1,1,tech!$H$2),I102),"")</f>
        <v/>
      </c>
      <c r="N102" t="s">
        <v>495</v>
      </c>
      <c r="O102" s="492" t="s">
        <v>562</v>
      </c>
      <c r="P102" t="str">
        <f t="shared" si="111"/>
        <v>Disclosure statement is documented and published</v>
      </c>
      <c r="Q102" t="str">
        <f t="shared" si="159"/>
        <v>References</v>
      </c>
      <c r="R102" t="str">
        <f t="shared" si="131"/>
        <v>1.2.4.RX</v>
      </c>
      <c r="S102" t="str">
        <f>IF(AND(O102&lt;&gt;"",LEFT(O102,1)&lt;&gt;"#"),IF(LEFT(O102,1)="-",REPLACE(O102,1,1,tech!$H$2),O102),"")</f>
        <v/>
      </c>
      <c r="T102" t="s">
        <v>495</v>
      </c>
      <c r="U102" s="492"/>
      <c r="V102" t="str">
        <f t="shared" si="112"/>
        <v>List of relevant laws, regulations, and standards, exist and is maintained</v>
      </c>
      <c r="W102" t="str">
        <f t="shared" si="160"/>
        <v>Assessment</v>
      </c>
      <c r="X102" t="str">
        <f t="shared" si="133"/>
        <v>1.3.4.AX</v>
      </c>
      <c r="Y102" t="str">
        <f>IF(AND(U102&lt;&gt;"",LEFT(U102,1)&lt;&gt;"#"),IF(LEFT(U102,1)="-",REPLACE(U102,1,1,tech!$H$2),U102),"")</f>
        <v/>
      </c>
      <c r="Z102" t="s">
        <v>495</v>
      </c>
      <c r="AA102" s="492" t="s">
        <v>504</v>
      </c>
      <c r="AB102" t="str">
        <f t="shared" si="113"/>
        <v>Evidence from procedures is collected and maintained</v>
      </c>
      <c r="AC102" t="str">
        <f t="shared" si="161"/>
        <v>References</v>
      </c>
      <c r="AD102" t="str">
        <f t="shared" si="135"/>
        <v>1.4.4.RY</v>
      </c>
      <c r="AE102" t="str">
        <f>IF(AND(AA102&lt;&gt;"",LEFT(AA102,1)&lt;&gt;"#"),IF(LEFT(AA102,1)="-",REPLACE(AA102,1,1,tech!$H$2),AA102),"")</f>
        <v>• [ISO/IEC 27001 - Information security management systems](https://www.iso.org/standard/54534.html)</v>
      </c>
      <c r="AF102" t="s">
        <v>495</v>
      </c>
      <c r="AG102" s="492" t="s">
        <v>723</v>
      </c>
      <c r="AH102" t="str">
        <f t="shared" si="114"/>
        <v>Each cryptographic key is defined and has documented lifecycle procedures</v>
      </c>
      <c r="AI102" t="str">
        <f t="shared" si="162"/>
        <v>Guidance</v>
      </c>
      <c r="AJ102" t="str">
        <f t="shared" si="137"/>
        <v>2.1.4.GY</v>
      </c>
      <c r="AK102" t="str">
        <f>IF(AND(AG102&lt;&gt;"",LEFT(AG102,1)&lt;&gt;"#"),IF(LEFT(AG102,1)="-",REPLACE(AG102,1,1,tech!$H$2),AG102),"")</f>
        <v>The key can have various lifecycle phases, such as generation, registration, initialization, distribution, loading, storage, archiving, backup, recovery, revocation, removal, destruction, or others applicable for the key.</v>
      </c>
      <c r="AL102" t="s">
        <v>495</v>
      </c>
      <c r="AM102" s="492" t="s">
        <v>833</v>
      </c>
      <c r="AN102" t="str">
        <f t="shared" si="115"/>
        <v>Certificate lifecycle management is documented</v>
      </c>
      <c r="AO102" t="str">
        <f t="shared" si="163"/>
        <v>Assessment</v>
      </c>
      <c r="AP102" t="str">
        <f t="shared" si="139"/>
        <v>2.2.3.AY</v>
      </c>
      <c r="AQ102" t="str">
        <f>IF(AND(AM102&lt;&gt;"",LEFT(AM102,1)&lt;&gt;"#"),IF(LEFT(AM102,1)="-",REPLACE(AM102,1,1,tech!$H$2),AM102),"")</f>
        <v xml:space="preserve">  * Documented revocation procedures, both for subjects and administrators</v>
      </c>
      <c r="AR102" t="s">
        <v>495</v>
      </c>
      <c r="AS102" s="492"/>
      <c r="AT102" t="str">
        <f t="shared" si="116"/>
        <v>Network vulnerability management is implemented and maintained</v>
      </c>
      <c r="AU102" t="str">
        <f t="shared" si="164"/>
        <v>References</v>
      </c>
      <c r="AV102" t="str">
        <f t="shared" si="141"/>
        <v>2.3.3.RX</v>
      </c>
      <c r="AW102" t="str">
        <f>IF(AND(AS102&lt;&gt;"",LEFT(AS102,1)&lt;&gt;"#"),IF(LEFT(AS102,1)="-",REPLACE(AS102,1,1,tech!$H$2),AS102),"")</f>
        <v/>
      </c>
      <c r="AX102" t="s">
        <v>495</v>
      </c>
      <c r="AY102" s="492" t="s">
        <v>965</v>
      </c>
      <c r="AZ102" t="str">
        <f t="shared" si="117"/>
        <v>The change management process is documented and implemented</v>
      </c>
      <c r="BA102" t="str">
        <f t="shared" si="165"/>
        <v>References</v>
      </c>
      <c r="BB102" t="str">
        <f t="shared" si="143"/>
        <v>2.4.3.RY</v>
      </c>
      <c r="BC102" t="str">
        <f>IF(AND(AY102&lt;&gt;"",LEFT(AY102,1)&lt;&gt;"#"),IF(LEFT(AY102,1)="-",REPLACE(AY102,1,1,tech!$H$2),AY102),"")</f>
        <v>• [The Information Technology Infrastructure Library (ITIL)](https://www.axelos.com/best-practice-solutions/itil)</v>
      </c>
      <c r="BD102" t="s">
        <v>495</v>
      </c>
      <c r="BE102" s="492"/>
      <c r="BF102" t="str">
        <f t="shared" si="118"/>
        <v>Technology future proofing</v>
      </c>
      <c r="BG102" t="str">
        <f t="shared" si="166"/>
        <v>References</v>
      </c>
      <c r="BH102" t="str">
        <f t="shared" si="145"/>
        <v>3.1.4.RX</v>
      </c>
      <c r="BI102" t="str">
        <f>IF(AND(BE102&lt;&gt;"",LEFT(BE102,1)&lt;&gt;"#"),IF(LEFT(BE102,1)="-",REPLACE(BE102,1,1,tech!$H$2),BE102),"")</f>
        <v/>
      </c>
      <c r="BJ102" t="s">
        <v>495</v>
      </c>
      <c r="BK102" s="492"/>
      <c r="BL102" t="str">
        <f t="shared" si="119"/>
        <v>Adoption and application of open standards</v>
      </c>
      <c r="BM102" t="str">
        <f t="shared" si="167"/>
        <v>References</v>
      </c>
      <c r="BN102" t="str">
        <f t="shared" si="147"/>
        <v>3.2.3.RX</v>
      </c>
      <c r="BO102" t="str">
        <f>IF(AND(BK102&lt;&gt;"",LEFT(BK102,1)&lt;&gt;"#"),IF(LEFT(BK102,1)="-",REPLACE(BK102,1,1,tech!$H$2),BK102),"")</f>
        <v/>
      </c>
      <c r="BP102" t="s">
        <v>495</v>
      </c>
      <c r="BQ102" s="492"/>
      <c r="BR102" t="str">
        <f t="shared" si="120"/>
        <v>Audit trail can be reconstructed from audit logs</v>
      </c>
      <c r="BS102" t="str">
        <f t="shared" si="168"/>
        <v>Assessment</v>
      </c>
      <c r="BT102" t="str">
        <f t="shared" si="149"/>
        <v>3.3.3.AX</v>
      </c>
      <c r="BU102" t="str">
        <f>IF(AND(BQ102&lt;&gt;"",LEFT(BQ102,1)&lt;&gt;"#"),IF(LEFT(BQ102,1)="-",REPLACE(BQ102,1,1,tech!$H$2),BQ102),"")</f>
        <v/>
      </c>
      <c r="BV102" t="s">
        <v>495</v>
      </c>
      <c r="BW102" s="492"/>
      <c r="BX102" t="str">
        <f t="shared" si="121"/>
        <v>Incidents and exceptions handling</v>
      </c>
      <c r="BY102" t="str">
        <f t="shared" si="169"/>
        <v>References</v>
      </c>
      <c r="BZ102" t="str">
        <f t="shared" si="151"/>
        <v>3.4.3.RX</v>
      </c>
      <c r="CA102" t="str">
        <f>IF(AND(BW102&lt;&gt;"",LEFT(BW102,1)&lt;&gt;"#"),IF(LEFT(BW102,1)="-",REPLACE(BW102,1,1,tech!$H$2),BW102),"")</f>
        <v/>
      </c>
      <c r="CB102" t="s">
        <v>495</v>
      </c>
      <c r="CC102" s="492" t="s">
        <v>55</v>
      </c>
      <c r="CD102" t="str">
        <f t="shared" si="122"/>
        <v>Resources are periodically reviewed</v>
      </c>
      <c r="CE102" t="str">
        <f t="shared" si="170"/>
        <v>References</v>
      </c>
      <c r="CF102" t="str">
        <f t="shared" si="153"/>
        <v>4.1.4.RY</v>
      </c>
      <c r="CG102" t="str">
        <f>IF(AND(CC102&lt;&gt;"",LEFT(CC102,1)&lt;&gt;"#"),IF(LEFT(CC102,1)="-",REPLACE(CC102,1,1,tech!$H$2),CC102),"")</f>
        <v>N/A</v>
      </c>
      <c r="CH102" t="s">
        <v>495</v>
      </c>
      <c r="CI102" s="492" t="s">
        <v>1350</v>
      </c>
      <c r="CJ102" t="str">
        <f t="shared" si="123"/>
        <v>Perform security awareness training</v>
      </c>
      <c r="CK102" t="str">
        <f t="shared" si="171"/>
        <v>Assessment</v>
      </c>
      <c r="CL102" t="str">
        <f t="shared" si="155"/>
        <v>4.2.3.AY</v>
      </c>
      <c r="CM102" t="str">
        <f>IF(AND(CI102&lt;&gt;"",LEFT(CI102,1)&lt;&gt;"#"),IF(LEFT(CI102,1)="-",REPLACE(CI102,1,1,tech!$H$2),CI102),"")</f>
        <v>• Review content of the Security awareness Training</v>
      </c>
      <c r="CN102" t="s">
        <v>495</v>
      </c>
      <c r="CO102" s="492" t="s">
        <v>498</v>
      </c>
      <c r="CP102" t="str">
        <f t="shared" si="124"/>
        <v>Timely communication of important information</v>
      </c>
      <c r="CQ102" t="str">
        <f t="shared" si="172"/>
        <v>Guidance</v>
      </c>
      <c r="CR102" t="str">
        <f t="shared" si="157"/>
        <v>4.3.4.GX</v>
      </c>
      <c r="CS102" t="str">
        <f>IF(AND(CO102&lt;&gt;"",LEFT(CO102,1)&lt;&gt;"#"),IF(LEFT(CO102,1)="-",REPLACE(CO102,1,1,tech!$H$2),CO102),"")</f>
        <v/>
      </c>
      <c r="CT102" t="s">
        <v>495</v>
      </c>
    </row>
    <row r="103" spans="3:98" x14ac:dyDescent="0.25">
      <c r="C103" s="492"/>
      <c r="D103" t="str">
        <f t="shared" si="173"/>
        <v>Optimized</v>
      </c>
      <c r="E103" t="str">
        <f t="shared" si="174"/>
        <v>Associated risks</v>
      </c>
      <c r="F103" t="str">
        <f>_xlfn.CONCAT(VLOOKUP(D103,tech!$A$13:$B$17,2,0),LEFT(E103,1),IF(G103="","X","Y"))</f>
        <v>5AX</v>
      </c>
      <c r="G103" t="str">
        <f>IF(IF(LEFT(C103,1)="-",C103,"")="","",REPLACE(IF(LEFT(C103,1)="-",C103,""),1,1,tech!$H$2))</f>
        <v/>
      </c>
      <c r="H103" t="s">
        <v>495</v>
      </c>
      <c r="I103" s="492" t="s">
        <v>503</v>
      </c>
      <c r="J103" t="str">
        <f t="shared" si="127"/>
        <v>Architecture and design of the PKI</v>
      </c>
      <c r="K103" t="str">
        <f t="shared" si="158"/>
        <v>References</v>
      </c>
      <c r="L103" t="str">
        <f t="shared" si="129"/>
        <v>1.1.4.RX</v>
      </c>
      <c r="M103" t="str">
        <f>IF(AND(I103&lt;&gt;"",LEFT(I103,1)&lt;&gt;"#"),IF(LEFT(I103,1)="-",REPLACE(I103,1,1,tech!$H$2),I103),"")</f>
        <v/>
      </c>
      <c r="N103" t="s">
        <v>495</v>
      </c>
      <c r="O103" s="492"/>
      <c r="P103" t="str">
        <f t="shared" si="111"/>
        <v>Disclosure statement is documented and published</v>
      </c>
      <c r="Q103" t="str">
        <f t="shared" si="159"/>
        <v>References</v>
      </c>
      <c r="R103" t="str">
        <f t="shared" si="131"/>
        <v>1.2.4.RX</v>
      </c>
      <c r="S103" t="str">
        <f>IF(AND(O103&lt;&gt;"",LEFT(O103,1)&lt;&gt;"#"),IF(LEFT(O103,1)="-",REPLACE(O103,1,1,tech!$H$2),O103),"")</f>
        <v/>
      </c>
      <c r="T103" t="s">
        <v>495</v>
      </c>
      <c r="U103" s="492" t="s">
        <v>645</v>
      </c>
      <c r="V103" t="str">
        <f t="shared" si="112"/>
        <v>List of relevant laws, regulations, and standards, exist and is maintained</v>
      </c>
      <c r="W103" t="str">
        <f t="shared" si="160"/>
        <v>Assessment</v>
      </c>
      <c r="X103" t="str">
        <f t="shared" si="133"/>
        <v>1.3.4.AY</v>
      </c>
      <c r="Y103" t="str">
        <f>IF(AND(U103&lt;&gt;"",LEFT(U103,1)&lt;&gt;"#"),IF(LEFT(U103,1)="-",REPLACE(U103,1,1,tech!$H$2),U103),"")</f>
        <v>• Documented list of applicable laws, regulations and standards is maintained</v>
      </c>
      <c r="Z103" t="s">
        <v>495</v>
      </c>
      <c r="AA103" s="492" t="s">
        <v>551</v>
      </c>
      <c r="AB103" t="str">
        <f t="shared" si="113"/>
        <v>Evidence from procedures is collected and maintained</v>
      </c>
      <c r="AC103" t="str">
        <f t="shared" si="161"/>
        <v>References</v>
      </c>
      <c r="AD103" t="str">
        <f t="shared" si="135"/>
        <v>1.4.4.RY</v>
      </c>
      <c r="AE103" t="str">
        <f>IF(AND(AA103&lt;&gt;"",LEFT(AA103,1)&lt;&gt;"#"),IF(LEFT(AA103,1)="-",REPLACE(AA103,1,1,tech!$H$2),AA103),"")</f>
        <v>• [RFC 3647 - Internet X.509 Public Key Infrastructure Certificate Policy and Certification Practices Framework](https://tools.ietf.org/html/rfc3647)</v>
      </c>
      <c r="AF103" t="s">
        <v>495</v>
      </c>
      <c r="AG103" s="492"/>
      <c r="AH103" t="str">
        <f t="shared" si="114"/>
        <v>Each cryptographic key is defined and has documented lifecycle procedures</v>
      </c>
      <c r="AI103" t="str">
        <f t="shared" si="162"/>
        <v>Guidance</v>
      </c>
      <c r="AJ103" t="str">
        <f t="shared" si="137"/>
        <v>2.1.4.GY</v>
      </c>
      <c r="AK103" t="str">
        <f>IF(AND(AG103&lt;&gt;"",LEFT(AG103,1)&lt;&gt;"#"),IF(LEFT(AG103,1)="-",REPLACE(AG103,1,1,tech!$H$2),AG103),"")</f>
        <v/>
      </c>
      <c r="AL103" t="s">
        <v>495</v>
      </c>
      <c r="AM103" s="492" t="s">
        <v>834</v>
      </c>
      <c r="AN103" t="str">
        <f t="shared" si="115"/>
        <v>Certificate lifecycle management is documented</v>
      </c>
      <c r="AO103" t="str">
        <f t="shared" si="163"/>
        <v>Assessment</v>
      </c>
      <c r="AP103" t="str">
        <f t="shared" si="139"/>
        <v>2.2.3.AY</v>
      </c>
      <c r="AQ103" t="str">
        <f>IF(AND(AM103&lt;&gt;"",LEFT(AM103,1)&lt;&gt;"#"),IF(LEFT(AM103,1)="-",REPLACE(AM103,1,1,tech!$H$2),AM103),"")</f>
        <v xml:space="preserve">  * If suspension is used the process to lift (or remove) suspension</v>
      </c>
      <c r="AR103" t="s">
        <v>495</v>
      </c>
      <c r="AS103" s="492" t="s">
        <v>907</v>
      </c>
      <c r="AT103" t="str">
        <f t="shared" si="116"/>
        <v>Infrastructure recovery objectives controls</v>
      </c>
      <c r="AU103" t="str">
        <f t="shared" si="164"/>
        <v>References</v>
      </c>
      <c r="AV103" t="str">
        <f t="shared" si="141"/>
        <v>2.3.4.RX</v>
      </c>
      <c r="AW103" t="str">
        <f>IF(AND(AS103&lt;&gt;"",LEFT(AS103,1)&lt;&gt;"#"),IF(LEFT(AS103,1)="-",REPLACE(AS103,1,1,tech!$H$2),AS103),"")</f>
        <v/>
      </c>
      <c r="AX103" t="s">
        <v>495</v>
      </c>
      <c r="AY103" s="492"/>
      <c r="AZ103" t="str">
        <f t="shared" si="117"/>
        <v>The change management process is documented and implemented</v>
      </c>
      <c r="BA103" t="str">
        <f t="shared" si="165"/>
        <v>References</v>
      </c>
      <c r="BB103" t="str">
        <f t="shared" si="143"/>
        <v>2.4.3.RX</v>
      </c>
      <c r="BC103" t="str">
        <f>IF(AND(AY103&lt;&gt;"",LEFT(AY103,1)&lt;&gt;"#"),IF(LEFT(AY103,1)="-",REPLACE(AY103,1,1,tech!$H$2),AY103),"")</f>
        <v/>
      </c>
      <c r="BD103" t="s">
        <v>495</v>
      </c>
      <c r="BE103" s="492" t="s">
        <v>498</v>
      </c>
      <c r="BF103" t="str">
        <f t="shared" si="118"/>
        <v>Technology future proofing</v>
      </c>
      <c r="BG103" t="str">
        <f t="shared" si="166"/>
        <v>Guidance</v>
      </c>
      <c r="BH103" t="str">
        <f t="shared" si="145"/>
        <v>3.1.4.GX</v>
      </c>
      <c r="BI103" t="str">
        <f>IF(AND(BE103&lt;&gt;"",LEFT(BE103,1)&lt;&gt;"#"),IF(LEFT(BE103,1)="-",REPLACE(BE103,1,1,tech!$H$2),BE103),"")</f>
        <v/>
      </c>
      <c r="BJ103" t="s">
        <v>495</v>
      </c>
      <c r="BK103" s="492"/>
      <c r="BL103" t="str">
        <f t="shared" si="119"/>
        <v>Adoption and application of open standards</v>
      </c>
      <c r="BM103" t="str">
        <f t="shared" si="167"/>
        <v>References</v>
      </c>
      <c r="BN103" t="str">
        <f t="shared" si="147"/>
        <v>3.2.3.RX</v>
      </c>
      <c r="BO103" t="str">
        <f>IF(AND(BK103&lt;&gt;"",LEFT(BK103,1)&lt;&gt;"#"),IF(LEFT(BK103,1)="-",REPLACE(BK103,1,1,tech!$H$2),BK103),"")</f>
        <v/>
      </c>
      <c r="BP103" t="s">
        <v>495</v>
      </c>
      <c r="BQ103" s="492" t="s">
        <v>503</v>
      </c>
      <c r="BR103" t="str">
        <f t="shared" si="120"/>
        <v>Audit trail can be reconstructed from audit logs</v>
      </c>
      <c r="BS103" t="str">
        <f t="shared" si="168"/>
        <v>References</v>
      </c>
      <c r="BT103" t="str">
        <f t="shared" si="149"/>
        <v>3.3.3.RX</v>
      </c>
      <c r="BU103" t="str">
        <f>IF(AND(BQ103&lt;&gt;"",LEFT(BQ103,1)&lt;&gt;"#"),IF(LEFT(BQ103,1)="-",REPLACE(BQ103,1,1,tech!$H$2),BQ103),"")</f>
        <v/>
      </c>
      <c r="BV103" t="s">
        <v>495</v>
      </c>
      <c r="BW103" s="492"/>
      <c r="BX103" t="str">
        <f t="shared" si="121"/>
        <v>Incidents and exceptions handling</v>
      </c>
      <c r="BY103" t="str">
        <f t="shared" si="169"/>
        <v>References</v>
      </c>
      <c r="BZ103" t="str">
        <f t="shared" si="151"/>
        <v>3.4.3.RX</v>
      </c>
      <c r="CA103" t="str">
        <f>IF(AND(BW103&lt;&gt;"",LEFT(BW103,1)&lt;&gt;"#"),IF(LEFT(BW103,1)="-",REPLACE(BW103,1,1,tech!$H$2),BW103),"")</f>
        <v/>
      </c>
      <c r="CB103" t="s">
        <v>495</v>
      </c>
      <c r="CC103" s="492"/>
      <c r="CD103" t="str">
        <f t="shared" si="122"/>
        <v>Resources are periodically reviewed</v>
      </c>
      <c r="CE103" t="str">
        <f t="shared" si="170"/>
        <v>References</v>
      </c>
      <c r="CF103" t="str">
        <f t="shared" si="153"/>
        <v>4.1.4.RX</v>
      </c>
      <c r="CG103" t="str">
        <f>IF(AND(CC103&lt;&gt;"",LEFT(CC103,1)&lt;&gt;"#"),IF(LEFT(CC103,1)="-",REPLACE(CC103,1,1,tech!$H$2),CC103),"")</f>
        <v/>
      </c>
      <c r="CH103" t="s">
        <v>495</v>
      </c>
      <c r="CI103" s="492"/>
      <c r="CJ103" t="str">
        <f t="shared" si="123"/>
        <v>Perform security awareness training</v>
      </c>
      <c r="CK103" t="str">
        <f t="shared" si="171"/>
        <v>Assessment</v>
      </c>
      <c r="CL103" t="str">
        <f t="shared" si="155"/>
        <v>4.2.3.AX</v>
      </c>
      <c r="CM103" t="str">
        <f>IF(AND(CI103&lt;&gt;"",LEFT(CI103,1)&lt;&gt;"#"),IF(LEFT(CI103,1)="-",REPLACE(CI103,1,1,tech!$H$2),CI103),"")</f>
        <v/>
      </c>
      <c r="CN103" t="s">
        <v>495</v>
      </c>
      <c r="CO103" s="492"/>
      <c r="CP103" t="str">
        <f t="shared" si="124"/>
        <v>Timely communication of important information</v>
      </c>
      <c r="CQ103" t="str">
        <f t="shared" si="172"/>
        <v>Guidance</v>
      </c>
      <c r="CR103" t="str">
        <f t="shared" si="157"/>
        <v>4.3.4.GX</v>
      </c>
      <c r="CS103" t="str">
        <f>IF(AND(CO103&lt;&gt;"",LEFT(CO103,1)&lt;&gt;"#"),IF(LEFT(CO103,1)="-",REPLACE(CO103,1,1,tech!$H$2),CO103),"")</f>
        <v/>
      </c>
      <c r="CT103" t="s">
        <v>495</v>
      </c>
    </row>
    <row r="104" spans="3:98" x14ac:dyDescent="0.25">
      <c r="C104" s="492"/>
      <c r="D104" t="str">
        <f t="shared" si="173"/>
        <v>Optimized</v>
      </c>
      <c r="E104" t="str">
        <f t="shared" si="174"/>
        <v>Associated risks</v>
      </c>
      <c r="F104" t="str">
        <f>_xlfn.CONCAT(VLOOKUP(D104,tech!$A$13:$B$17,2,0),LEFT(E104,1),IF(G104="","X","Y"))</f>
        <v>5AX</v>
      </c>
      <c r="G104" t="str">
        <f>IF(IF(LEFT(C104,1)="-",C104,"")="","",REPLACE(IF(LEFT(C104,1)="-",C104,""),1,1,tech!$H$2))</f>
        <v/>
      </c>
      <c r="H104" t="s">
        <v>495</v>
      </c>
      <c r="I104" s="492"/>
      <c r="J104" t="str">
        <f t="shared" si="127"/>
        <v>Architecture and design of the PKI</v>
      </c>
      <c r="K104" t="str">
        <f t="shared" si="158"/>
        <v>References</v>
      </c>
      <c r="L104" t="str">
        <f t="shared" si="129"/>
        <v>1.1.4.RX</v>
      </c>
      <c r="M104" t="str">
        <f>IF(AND(I104&lt;&gt;"",LEFT(I104,1)&lt;&gt;"#"),IF(LEFT(I104,1)="-",REPLACE(I104,1,1,tech!$H$2),I104),"")</f>
        <v/>
      </c>
      <c r="N104" t="s">
        <v>495</v>
      </c>
      <c r="O104" s="492" t="s">
        <v>498</v>
      </c>
      <c r="P104" t="str">
        <f t="shared" si="111"/>
        <v>Disclosure statement is documented and published</v>
      </c>
      <c r="Q104" t="str">
        <f t="shared" si="159"/>
        <v>Guidance</v>
      </c>
      <c r="R104" t="str">
        <f t="shared" si="131"/>
        <v>1.2.4.GX</v>
      </c>
      <c r="S104" t="str">
        <f>IF(AND(O104&lt;&gt;"",LEFT(O104,1)&lt;&gt;"#"),IF(LEFT(O104,1)="-",REPLACE(O104,1,1,tech!$H$2),O104),"")</f>
        <v/>
      </c>
      <c r="T104" t="s">
        <v>495</v>
      </c>
      <c r="U104" s="492" t="s">
        <v>646</v>
      </c>
      <c r="V104" t="str">
        <f t="shared" si="112"/>
        <v>List of relevant laws, regulations, and standards, exist and is maintained</v>
      </c>
      <c r="W104" t="str">
        <f t="shared" si="160"/>
        <v>Assessment</v>
      </c>
      <c r="X104" t="str">
        <f t="shared" si="133"/>
        <v>1.3.4.AY</v>
      </c>
      <c r="Y104" t="str">
        <f>IF(AND(U104&lt;&gt;"",LEFT(U104,1)&lt;&gt;"#"),IF(LEFT(U104,1)="-",REPLACE(U104,1,1,tech!$H$2),U104),"")</f>
        <v>• Procedures established for periodic review of the laws, regulations and standards</v>
      </c>
      <c r="Z104" t="s">
        <v>495</v>
      </c>
      <c r="AA104" s="492" t="s">
        <v>668</v>
      </c>
      <c r="AB104" t="str">
        <f t="shared" si="113"/>
        <v>Evidence from procedures is collected and maintained</v>
      </c>
      <c r="AC104" t="str">
        <f t="shared" si="161"/>
        <v>References</v>
      </c>
      <c r="AD104" t="str">
        <f t="shared" si="135"/>
        <v>1.4.4.RY</v>
      </c>
      <c r="AE104" t="str">
        <f>IF(AND(AA104&lt;&gt;"",LEFT(AA104,1)&lt;&gt;"#"),IF(LEFT(AA104,1)="-",REPLACE(AA104,1,1,tech!$H$2),AA104),"")</f>
        <v>• [ENISA Publications](https://www.enisa.europa.eu/publications)</v>
      </c>
      <c r="AF104" t="s">
        <v>495</v>
      </c>
      <c r="AG104" s="492" t="s">
        <v>724</v>
      </c>
      <c r="AH104" t="str">
        <f t="shared" si="114"/>
        <v>Each cryptographic key is defined and has documented lifecycle procedures</v>
      </c>
      <c r="AI104" t="str">
        <f t="shared" si="162"/>
        <v>Guidance</v>
      </c>
      <c r="AJ104" t="str">
        <f t="shared" si="137"/>
        <v>2.1.4.GY</v>
      </c>
      <c r="AK104" t="str">
        <f>IF(AND(AG104&lt;&gt;"",LEFT(AG104,1)&lt;&gt;"#"),IF(LEFT(AG104,1)="-",REPLACE(AG104,1,1,tech!$H$2),AG104),"")</f>
        <v>The lifecycle phases contains appropriate description of the procedure such as:</v>
      </c>
      <c r="AL104" t="s">
        <v>495</v>
      </c>
      <c r="AM104" s="492" t="s">
        <v>835</v>
      </c>
      <c r="AN104" t="str">
        <f t="shared" si="115"/>
        <v>Certificate lifecycle management is documented</v>
      </c>
      <c r="AO104" t="str">
        <f t="shared" si="163"/>
        <v>Assessment</v>
      </c>
      <c r="AP104" t="str">
        <f t="shared" si="139"/>
        <v>2.2.3.AY</v>
      </c>
      <c r="AQ104" t="str">
        <f>IF(AND(AM104&lt;&gt;"",LEFT(AM104,1)&lt;&gt;"#"),IF(LEFT(AM104,1)="-",REPLACE(AM104,1,1,tech!$H$2),AM104),"")</f>
        <v xml:space="preserve">  * Documented contact points for reports in the organizations or from relying parties</v>
      </c>
      <c r="AR104" t="s">
        <v>495</v>
      </c>
      <c r="AS104" s="492"/>
      <c r="AT104" t="str">
        <f t="shared" si="116"/>
        <v>Infrastructure recovery objectives controls</v>
      </c>
      <c r="AU104" t="str">
        <f t="shared" si="164"/>
        <v>References</v>
      </c>
      <c r="AV104" t="str">
        <f t="shared" si="141"/>
        <v>2.3.4.RX</v>
      </c>
      <c r="AW104" t="str">
        <f>IF(AND(AS104&lt;&gt;"",LEFT(AS104,1)&lt;&gt;"#"),IF(LEFT(AS104,1)="-",REPLACE(AS104,1,1,tech!$H$2),AS104),"")</f>
        <v/>
      </c>
      <c r="AX104" t="s">
        <v>495</v>
      </c>
      <c r="AY104" s="492" t="s">
        <v>974</v>
      </c>
      <c r="AZ104" t="str">
        <f t="shared" si="117"/>
        <v>Requirements for agility are identified</v>
      </c>
      <c r="BA104" t="str">
        <f t="shared" si="165"/>
        <v>References</v>
      </c>
      <c r="BB104" t="str">
        <f t="shared" si="143"/>
        <v>2.4.4.RX</v>
      </c>
      <c r="BC104" t="str">
        <f>IF(AND(AY104&lt;&gt;"",LEFT(AY104,1)&lt;&gt;"#"),IF(LEFT(AY104,1)="-",REPLACE(AY104,1,1,tech!$H$2),AY104),"")</f>
        <v/>
      </c>
      <c r="BD104" t="s">
        <v>495</v>
      </c>
      <c r="BE104" s="492"/>
      <c r="BF104" t="str">
        <f t="shared" si="118"/>
        <v>Technology future proofing</v>
      </c>
      <c r="BG104" t="str">
        <f t="shared" si="166"/>
        <v>Guidance</v>
      </c>
      <c r="BH104" t="str">
        <f t="shared" si="145"/>
        <v>3.1.4.GX</v>
      </c>
      <c r="BI104" t="str">
        <f>IF(AND(BE104&lt;&gt;"",LEFT(BE104,1)&lt;&gt;"#"),IF(LEFT(BE104,1)="-",REPLACE(BE104,1,1,tech!$H$2),BE104),"")</f>
        <v/>
      </c>
      <c r="BJ104" t="s">
        <v>495</v>
      </c>
      <c r="BK104" s="492"/>
      <c r="BL104" t="str">
        <f t="shared" si="119"/>
        <v>Adoption and application of open standards</v>
      </c>
      <c r="BM104" t="str">
        <f t="shared" si="167"/>
        <v>References</v>
      </c>
      <c r="BN104" t="str">
        <f t="shared" si="147"/>
        <v>3.2.3.RX</v>
      </c>
      <c r="BO104" t="str">
        <f>IF(AND(BK104&lt;&gt;"",LEFT(BK104,1)&lt;&gt;"#"),IF(LEFT(BK104,1)="-",REPLACE(BK104,1,1,tech!$H$2),BK104),"")</f>
        <v/>
      </c>
      <c r="BP104" t="s">
        <v>495</v>
      </c>
      <c r="BQ104" s="492"/>
      <c r="BR104" t="str">
        <f t="shared" si="120"/>
        <v>Audit trail can be reconstructed from audit logs</v>
      </c>
      <c r="BS104" t="str">
        <f t="shared" si="168"/>
        <v>References</v>
      </c>
      <c r="BT104" t="str">
        <f t="shared" si="149"/>
        <v>3.3.3.RX</v>
      </c>
      <c r="BU104" t="str">
        <f>IF(AND(BQ104&lt;&gt;"",LEFT(BQ104,1)&lt;&gt;"#"),IF(LEFT(BQ104,1)="-",REPLACE(BQ104,1,1,tech!$H$2),BQ104),"")</f>
        <v/>
      </c>
      <c r="BV104" t="s">
        <v>495</v>
      </c>
      <c r="BW104" s="492"/>
      <c r="BX104" t="str">
        <f t="shared" si="121"/>
        <v>Incidents and exceptions handling</v>
      </c>
      <c r="BY104" t="str">
        <f t="shared" si="169"/>
        <v>References</v>
      </c>
      <c r="BZ104" t="str">
        <f t="shared" si="151"/>
        <v>3.4.3.RX</v>
      </c>
      <c r="CA104" t="str">
        <f>IF(AND(BW104&lt;&gt;"",LEFT(BW104,1)&lt;&gt;"#"),IF(LEFT(BW104,1)="-",REPLACE(BW104,1,1,tech!$H$2),BW104),"")</f>
        <v/>
      </c>
      <c r="CB104" t="s">
        <v>495</v>
      </c>
      <c r="CC104" s="492"/>
      <c r="CD104" t="str">
        <f t="shared" si="122"/>
        <v>Resources are periodically reviewed</v>
      </c>
      <c r="CE104" t="str">
        <f t="shared" si="170"/>
        <v>References</v>
      </c>
      <c r="CF104" t="str">
        <f t="shared" si="153"/>
        <v>4.1.4.RX</v>
      </c>
      <c r="CG104" t="str">
        <f>IF(AND(CC104&lt;&gt;"",LEFT(CC104,1)&lt;&gt;"#"),IF(LEFT(CC104,1)="-",REPLACE(CC104,1,1,tech!$H$2),CC104),"")</f>
        <v/>
      </c>
      <c r="CH104" t="s">
        <v>495</v>
      </c>
      <c r="CI104" s="492" t="s">
        <v>503</v>
      </c>
      <c r="CJ104" t="str">
        <f t="shared" si="123"/>
        <v>Perform security awareness training</v>
      </c>
      <c r="CK104" t="str">
        <f t="shared" si="171"/>
        <v>References</v>
      </c>
      <c r="CL104" t="str">
        <f t="shared" si="155"/>
        <v>4.2.3.RX</v>
      </c>
      <c r="CM104" t="str">
        <f>IF(AND(CI104&lt;&gt;"",LEFT(CI104,1)&lt;&gt;"#"),IF(LEFT(CI104,1)="-",REPLACE(CI104,1,1,tech!$H$2),CI104),"")</f>
        <v/>
      </c>
      <c r="CN104" t="s">
        <v>495</v>
      </c>
      <c r="CO104" s="492" t="s">
        <v>1377</v>
      </c>
      <c r="CP104" t="str">
        <f t="shared" si="124"/>
        <v>Timely communication of important information</v>
      </c>
      <c r="CQ104" t="str">
        <f t="shared" si="172"/>
        <v>Guidance</v>
      </c>
      <c r="CR104" t="str">
        <f t="shared" si="157"/>
        <v>4.3.4.GY</v>
      </c>
      <c r="CS104" t="str">
        <f>IF(AND(CO104&lt;&gt;"",LEFT(CO104,1)&lt;&gt;"#"),IF(LEFT(CO104,1)="-",REPLACE(CO104,1,1,tech!$H$2),CO104),"")</f>
        <v>In the event of an incident with high impact to the security and established trust of the PKI implementation, the organization should communicate the information to the PKI participants in a timely manner to avoid increased escalation of the event and inform participants of further actions that may be required to execute.</v>
      </c>
      <c r="CT104" t="s">
        <v>495</v>
      </c>
    </row>
    <row r="105" spans="3:98" x14ac:dyDescent="0.25">
      <c r="C105" s="492"/>
      <c r="D105" t="str">
        <f t="shared" si="173"/>
        <v>Optimized</v>
      </c>
      <c r="E105" t="str">
        <f t="shared" si="174"/>
        <v>Associated risks</v>
      </c>
      <c r="F105" t="str">
        <f>_xlfn.CONCAT(VLOOKUP(D105,tech!$A$13:$B$17,2,0),LEFT(E105,1),IF(G105="","X","Y"))</f>
        <v>5AX</v>
      </c>
      <c r="G105" t="str">
        <f>IF(IF(LEFT(C105,1)="-",C105,"")="","",REPLACE(IF(LEFT(C105,1)="-",C105,""),1,1,tech!$H$2))</f>
        <v/>
      </c>
      <c r="H105" t="s">
        <v>495</v>
      </c>
      <c r="I105" s="492" t="s">
        <v>519</v>
      </c>
      <c r="J105" t="str">
        <f t="shared" si="127"/>
        <v>Architecture and design of the PKI</v>
      </c>
      <c r="K105" t="str">
        <f t="shared" si="158"/>
        <v>References</v>
      </c>
      <c r="L105" t="str">
        <f t="shared" si="129"/>
        <v>1.1.4.RY</v>
      </c>
      <c r="M105" t="str">
        <f>IF(AND(I105&lt;&gt;"",LEFT(I105,1)&lt;&gt;"#"),IF(LEFT(I105,1)="-",REPLACE(I105,1,1,tech!$H$2),I105),"")</f>
        <v>• [ETSI EN 319 401 - General Policy Requirements for Trust Service Providers](https://www.etsi.org/deliver/etsi_en/319400_319499/319401/02.03.01_60/en_319401v020301p.pdf)</v>
      </c>
      <c r="N105" t="s">
        <v>495</v>
      </c>
      <c r="O105" s="492"/>
      <c r="P105" t="str">
        <f t="shared" si="111"/>
        <v>Disclosure statement is documented and published</v>
      </c>
      <c r="Q105" t="str">
        <f t="shared" si="159"/>
        <v>Guidance</v>
      </c>
      <c r="R105" t="str">
        <f t="shared" si="131"/>
        <v>1.2.4.GX</v>
      </c>
      <c r="S105" t="str">
        <f>IF(AND(O105&lt;&gt;"",LEFT(O105,1)&lt;&gt;"#"),IF(LEFT(O105,1)="-",REPLACE(O105,1,1,tech!$H$2),O105),"")</f>
        <v/>
      </c>
      <c r="T105" t="s">
        <v>495</v>
      </c>
      <c r="U105" s="492" t="s">
        <v>1463</v>
      </c>
      <c r="V105" t="str">
        <f t="shared" si="112"/>
        <v>List of relevant laws, regulations, and standards, exist and is maintained</v>
      </c>
      <c r="W105" t="str">
        <f t="shared" si="160"/>
        <v>Assessment</v>
      </c>
      <c r="X105" t="str">
        <f t="shared" si="133"/>
        <v>1.3.4.AY</v>
      </c>
      <c r="Y105" t="str">
        <f>IF(AND(U105&lt;&gt;"",LEFT(U105,1)&lt;&gt;"#"),IF(LEFT(U105,1)="-",REPLACE(U105,1,1,tech!$H$2),U105),"")</f>
        <v>• Procedures established to remediate Any deficiencies or non-Compliance issues identified</v>
      </c>
      <c r="Z105" t="s">
        <v>495</v>
      </c>
      <c r="AA105" s="492"/>
      <c r="AB105" t="str">
        <f t="shared" si="113"/>
        <v>Evidence from procedures is collected and maintained</v>
      </c>
      <c r="AC105" t="str">
        <f t="shared" si="161"/>
        <v>References</v>
      </c>
      <c r="AD105" t="str">
        <f t="shared" si="135"/>
        <v>1.4.4.RX</v>
      </c>
      <c r="AE105" t="str">
        <f>IF(AND(AA105&lt;&gt;"",LEFT(AA105,1)&lt;&gt;"#"),IF(LEFT(AA105,1)="-",REPLACE(AA105,1,1,tech!$H$2),AA105),"")</f>
        <v/>
      </c>
      <c r="AF105" t="s">
        <v>495</v>
      </c>
      <c r="AG105" s="492" t="s">
        <v>756</v>
      </c>
      <c r="AH105" t="str">
        <f t="shared" si="114"/>
        <v>Each cryptographic key is defined and has documented lifecycle procedures</v>
      </c>
      <c r="AI105" t="str">
        <f t="shared" si="162"/>
        <v>Guidance</v>
      </c>
      <c r="AJ105" t="str">
        <f t="shared" si="137"/>
        <v>2.1.4.GY</v>
      </c>
      <c r="AK105" t="str">
        <f>IF(AND(AG105&lt;&gt;"",LEFT(AG105,1)&lt;&gt;"#"),IF(LEFT(AG105,1)="-",REPLACE(AG105,1,1,tech!$H$2),AG105),"")</f>
        <v>• Prerequisites for execution</v>
      </c>
      <c r="AL105" t="s">
        <v>495</v>
      </c>
      <c r="AM105" s="492" t="s">
        <v>836</v>
      </c>
      <c r="AN105" t="str">
        <f t="shared" si="115"/>
        <v>Certificate lifecycle management is documented</v>
      </c>
      <c r="AO105" t="str">
        <f t="shared" si="163"/>
        <v>Assessment</v>
      </c>
      <c r="AP105" t="str">
        <f t="shared" si="139"/>
        <v>2.2.3.AY</v>
      </c>
      <c r="AQ105" t="str">
        <f>IF(AND(AM105&lt;&gt;"",LEFT(AM105,1)&lt;&gt;"#"),IF(LEFT(AM105,1)="-",REPLACE(AM105,1,1,tech!$H$2),AM105),"")</f>
        <v xml:space="preserve">  * List of relying parties that depend on updated revocation information</v>
      </c>
      <c r="AR105" t="s">
        <v>495</v>
      </c>
      <c r="AS105" s="492" t="s">
        <v>498</v>
      </c>
      <c r="AT105" t="str">
        <f t="shared" si="116"/>
        <v>Infrastructure recovery objectives controls</v>
      </c>
      <c r="AU105" t="str">
        <f t="shared" si="164"/>
        <v>Guidance</v>
      </c>
      <c r="AV105" t="str">
        <f t="shared" si="141"/>
        <v>2.3.4.GX</v>
      </c>
      <c r="AW105" t="str">
        <f>IF(AND(AS105&lt;&gt;"",LEFT(AS105,1)&lt;&gt;"#"),IF(LEFT(AS105,1)="-",REPLACE(AS105,1,1,tech!$H$2),AS105),"")</f>
        <v/>
      </c>
      <c r="AX105" t="s">
        <v>495</v>
      </c>
      <c r="AY105" s="492"/>
      <c r="AZ105" t="str">
        <f t="shared" si="117"/>
        <v>Requirements for agility are identified</v>
      </c>
      <c r="BA105" t="str">
        <f t="shared" si="165"/>
        <v>References</v>
      </c>
      <c r="BB105" t="str">
        <f t="shared" si="143"/>
        <v>2.4.4.RX</v>
      </c>
      <c r="BC105" t="str">
        <f>IF(AND(AY105&lt;&gt;"",LEFT(AY105,1)&lt;&gt;"#"),IF(LEFT(AY105,1)="-",REPLACE(AY105,1,1,tech!$H$2),AY105),"")</f>
        <v/>
      </c>
      <c r="BD105" t="s">
        <v>495</v>
      </c>
      <c r="BE105" s="492" t="s">
        <v>1038</v>
      </c>
      <c r="BF105" t="str">
        <f t="shared" si="118"/>
        <v>Technology future proofing</v>
      </c>
      <c r="BG105" t="str">
        <f t="shared" si="166"/>
        <v>Guidance</v>
      </c>
      <c r="BH105" t="str">
        <f t="shared" si="145"/>
        <v>3.1.4.GY</v>
      </c>
      <c r="BI105" t="str">
        <f>IF(AND(BE105&lt;&gt;"",LEFT(BE105,1)&lt;&gt;"#"),IF(LEFT(BE105,1)="-",REPLACE(BE105,1,1,tech!$H$2),BE105),"")</f>
        <v>Applicable technology should always be future proofed to ensure that the PKI is able to adapt to changes, and will support the organization PKI in the future when new standards, algorithms, and approach will be developed.</v>
      </c>
      <c r="BJ105" t="s">
        <v>495</v>
      </c>
      <c r="BK105" s="492"/>
      <c r="BL105" t="str">
        <f t="shared" si="119"/>
        <v>Adoption and application of open standards</v>
      </c>
      <c r="BM105" t="str">
        <f t="shared" si="167"/>
        <v>References</v>
      </c>
      <c r="BN105" t="str">
        <f t="shared" si="147"/>
        <v>3.2.3.RX</v>
      </c>
      <c r="BO105" t="str">
        <f>IF(AND(BK105&lt;&gt;"",LEFT(BK105,1)&lt;&gt;"#"),IF(LEFT(BK105,1)="-",REPLACE(BK105,1,1,tech!$H$2),BK105),"")</f>
        <v/>
      </c>
      <c r="BP105" t="s">
        <v>495</v>
      </c>
      <c r="BQ105" s="492" t="s">
        <v>551</v>
      </c>
      <c r="BR105" t="str">
        <f t="shared" si="120"/>
        <v>Audit trail can be reconstructed from audit logs</v>
      </c>
      <c r="BS105" t="str">
        <f t="shared" si="168"/>
        <v>References</v>
      </c>
      <c r="BT105" t="str">
        <f t="shared" si="149"/>
        <v>3.3.3.RY</v>
      </c>
      <c r="BU105" t="str">
        <f>IF(AND(BQ105&lt;&gt;"",LEFT(BQ105,1)&lt;&gt;"#"),IF(LEFT(BQ105,1)="-",REPLACE(BQ105,1,1,tech!$H$2),BQ105),"")</f>
        <v>• [RFC 3647 - Internet X.509 Public Key Infrastructure Certificate Policy and Certification Practices Framework](https://tools.ietf.org/html/rfc3647)</v>
      </c>
      <c r="BV105" t="s">
        <v>495</v>
      </c>
      <c r="BW105" s="492"/>
      <c r="BX105" t="str">
        <f t="shared" si="121"/>
        <v>Incidents and exceptions handling</v>
      </c>
      <c r="BY105" t="str">
        <f t="shared" si="169"/>
        <v>References</v>
      </c>
      <c r="BZ105" t="str">
        <f t="shared" si="151"/>
        <v>3.4.3.RX</v>
      </c>
      <c r="CA105" t="str">
        <f>IF(AND(BW105&lt;&gt;"",LEFT(BW105,1)&lt;&gt;"#"),IF(LEFT(BW105,1)="-",REPLACE(BW105,1,1,tech!$H$2),BW105),"")</f>
        <v/>
      </c>
      <c r="CB105" t="s">
        <v>495</v>
      </c>
      <c r="CC105" s="492"/>
      <c r="CD105" t="str">
        <f t="shared" si="122"/>
        <v>Resources are periodically reviewed</v>
      </c>
      <c r="CE105" t="str">
        <f t="shared" si="170"/>
        <v>References</v>
      </c>
      <c r="CF105" t="str">
        <f t="shared" si="153"/>
        <v>4.1.4.RX</v>
      </c>
      <c r="CG105" t="str">
        <f>IF(AND(CC105&lt;&gt;"",LEFT(CC105,1)&lt;&gt;"#"),IF(LEFT(CC105,1)="-",REPLACE(CC105,1,1,tech!$H$2),CC105),"")</f>
        <v/>
      </c>
      <c r="CH105" t="s">
        <v>495</v>
      </c>
      <c r="CI105" s="492"/>
      <c r="CJ105" t="str">
        <f t="shared" si="123"/>
        <v>Perform security awareness training</v>
      </c>
      <c r="CK105" t="str">
        <f t="shared" si="171"/>
        <v>References</v>
      </c>
      <c r="CL105" t="str">
        <f t="shared" si="155"/>
        <v>4.2.3.RX</v>
      </c>
      <c r="CM105" t="str">
        <f>IF(AND(CI105&lt;&gt;"",LEFT(CI105,1)&lt;&gt;"#"),IF(LEFT(CI105,1)="-",REPLACE(CI105,1,1,tech!$H$2),CI105),"")</f>
        <v/>
      </c>
      <c r="CN105" t="s">
        <v>495</v>
      </c>
      <c r="CO105" s="492"/>
      <c r="CP105" t="str">
        <f t="shared" si="124"/>
        <v>Timely communication of important information</v>
      </c>
      <c r="CQ105" t="str">
        <f t="shared" si="172"/>
        <v>Guidance</v>
      </c>
      <c r="CR105" t="str">
        <f t="shared" si="157"/>
        <v>4.3.4.GY</v>
      </c>
      <c r="CS105" t="str">
        <f>IF(AND(CO105&lt;&gt;"",LEFT(CO105,1)&lt;&gt;"#"),IF(LEFT(CO105,1)="-",REPLACE(CO105,1,1,tech!$H$2),CO105),"")</f>
        <v/>
      </c>
      <c r="CT105" t="s">
        <v>495</v>
      </c>
    </row>
    <row r="106" spans="3:98" x14ac:dyDescent="0.25">
      <c r="C106" s="492"/>
      <c r="D106" t="str">
        <f t="shared" si="173"/>
        <v>Optimized</v>
      </c>
      <c r="E106" t="str">
        <f t="shared" si="174"/>
        <v>Associated risks</v>
      </c>
      <c r="F106" t="str">
        <f>_xlfn.CONCAT(VLOOKUP(D106,tech!$A$13:$B$17,2,0),LEFT(E106,1),IF(G106="","X","Y"))</f>
        <v>5AX</v>
      </c>
      <c r="G106" t="str">
        <f>IF(IF(LEFT(C106,1)="-",C106,"")="","",REPLACE(IF(LEFT(C106,1)="-",C106,""),1,1,tech!$H$2))</f>
        <v/>
      </c>
      <c r="H106" t="s">
        <v>495</v>
      </c>
      <c r="I106" s="492" t="s">
        <v>513</v>
      </c>
      <c r="J106" t="str">
        <f t="shared" si="127"/>
        <v>Architecture and design of the PKI</v>
      </c>
      <c r="K106" t="str">
        <f t="shared" si="158"/>
        <v>References</v>
      </c>
      <c r="L106" t="str">
        <f t="shared" si="129"/>
        <v>1.1.4.RY</v>
      </c>
      <c r="M106" t="str">
        <f>IF(AND(I106&lt;&gt;"",LEFT(I106,1)&lt;&gt;"#"),IF(LEFT(I106,1)="-",REPLACE(I106,1,1,tech!$H$2),I106),"")</f>
        <v>• [The Open Group Architecture Framework (TOGAF)](https://www.opengroup.org/togaf)</v>
      </c>
      <c r="N106" t="s">
        <v>495</v>
      </c>
      <c r="O106" s="492" t="s">
        <v>563</v>
      </c>
      <c r="P106" t="str">
        <f t="shared" si="111"/>
        <v>Disclosure statement is documented and published</v>
      </c>
      <c r="Q106" t="str">
        <f t="shared" si="159"/>
        <v>Guidance</v>
      </c>
      <c r="R106" t="str">
        <f t="shared" si="131"/>
        <v>1.2.4.GY</v>
      </c>
      <c r="S106" t="str">
        <f>IF(AND(O106&lt;&gt;"",LEFT(O106,1)&lt;&gt;"#"),IF(LEFT(O106,1)="-",REPLACE(O106,1,1,tech!$H$2),O106),"")</f>
        <v>The disclosure statement (DS) is a document that describes the PKI and its services. It refers to a document that discloses the relevant information about the CA and its services to the relying parties.</v>
      </c>
      <c r="T106" t="s">
        <v>495</v>
      </c>
      <c r="U106" s="492" t="s">
        <v>1464</v>
      </c>
      <c r="V106" t="str">
        <f t="shared" si="112"/>
        <v>List of relevant laws, regulations, and standards, exist and is maintained</v>
      </c>
      <c r="W106" t="str">
        <f t="shared" si="160"/>
        <v>Assessment</v>
      </c>
      <c r="X106" t="str">
        <f t="shared" si="133"/>
        <v>1.3.4.AY</v>
      </c>
      <c r="Y106" t="str">
        <f>IF(AND(U106&lt;&gt;"",LEFT(U106,1)&lt;&gt;"#"),IF(LEFT(U106,1)="-",REPLACE(U106,1,1,tech!$H$2),U106),"")</f>
        <v>• Procedures established to communicate results of the periodic reviews</v>
      </c>
      <c r="Z106" t="s">
        <v>495</v>
      </c>
      <c r="AA106" s="492" t="s">
        <v>677</v>
      </c>
      <c r="AB106" t="str">
        <f t="shared" si="113"/>
        <v>Processes and procedures are reviewed and updated</v>
      </c>
      <c r="AC106" t="str">
        <f t="shared" si="161"/>
        <v>References</v>
      </c>
      <c r="AD106" t="str">
        <f t="shared" si="135"/>
        <v>1.4.5.RX</v>
      </c>
      <c r="AE106" t="str">
        <f>IF(AND(AA106&lt;&gt;"",LEFT(AA106,1)&lt;&gt;"#"),IF(LEFT(AA106,1)="-",REPLACE(AA106,1,1,tech!$H$2),AA106),"")</f>
        <v/>
      </c>
      <c r="AF106" t="s">
        <v>495</v>
      </c>
      <c r="AG106" s="492" t="s">
        <v>757</v>
      </c>
      <c r="AH106" t="str">
        <f t="shared" si="114"/>
        <v>Each cryptographic key is defined and has documented lifecycle procedures</v>
      </c>
      <c r="AI106" t="str">
        <f t="shared" si="162"/>
        <v>Guidance</v>
      </c>
      <c r="AJ106" t="str">
        <f t="shared" si="137"/>
        <v>2.1.4.GY</v>
      </c>
      <c r="AK106" t="str">
        <f>IF(AND(AG106&lt;&gt;"",LEFT(AG106,1)&lt;&gt;"#"),IF(LEFT(AG106,1)="-",REPLACE(AG106,1,1,tech!$H$2),AG106),"")</f>
        <v>• required roles and permissions</v>
      </c>
      <c r="AL106" t="s">
        <v>495</v>
      </c>
      <c r="AM106" s="492" t="s">
        <v>837</v>
      </c>
      <c r="AN106" t="str">
        <f t="shared" si="115"/>
        <v>Certificate lifecycle management is documented</v>
      </c>
      <c r="AO106" t="str">
        <f t="shared" si="163"/>
        <v>Assessment</v>
      </c>
      <c r="AP106" t="str">
        <f t="shared" si="139"/>
        <v>2.2.3.AY</v>
      </c>
      <c r="AQ106" t="str">
        <f>IF(AND(AM106&lt;&gt;"",LEFT(AM106,1)&lt;&gt;"#"),IF(LEFT(AM106,1)="-",REPLACE(AM106,1,1,tech!$H$2),AM106),"")</f>
        <v>* Documented Certificate status service</v>
      </c>
      <c r="AR106" t="s">
        <v>495</v>
      </c>
      <c r="AS106" s="492"/>
      <c r="AT106" t="str">
        <f t="shared" si="116"/>
        <v>Infrastructure recovery objectives controls</v>
      </c>
      <c r="AU106" t="str">
        <f t="shared" si="164"/>
        <v>Guidance</v>
      </c>
      <c r="AV106" t="str">
        <f t="shared" si="141"/>
        <v>2.3.4.GX</v>
      </c>
      <c r="AW106" t="str">
        <f>IF(AND(AS106&lt;&gt;"",LEFT(AS106,1)&lt;&gt;"#"),IF(LEFT(AS106,1)="-",REPLACE(AS106,1,1,tech!$H$2),AS106),"")</f>
        <v/>
      </c>
      <c r="AX106" t="s">
        <v>495</v>
      </c>
      <c r="AY106" s="492" t="s">
        <v>498</v>
      </c>
      <c r="AZ106" t="str">
        <f t="shared" si="117"/>
        <v>Requirements for agility are identified</v>
      </c>
      <c r="BA106" t="str">
        <f t="shared" si="165"/>
        <v>Guidance</v>
      </c>
      <c r="BB106" t="str">
        <f t="shared" si="143"/>
        <v>2.4.4.GX</v>
      </c>
      <c r="BC106" t="str">
        <f>IF(AND(AY106&lt;&gt;"",LEFT(AY106,1)&lt;&gt;"#"),IF(LEFT(AY106,1)="-",REPLACE(AY106,1,1,tech!$H$2),AY106),"")</f>
        <v/>
      </c>
      <c r="BD106" t="s">
        <v>495</v>
      </c>
      <c r="BE106" s="492"/>
      <c r="BF106" t="str">
        <f t="shared" si="118"/>
        <v>Technology future proofing</v>
      </c>
      <c r="BG106" t="str">
        <f t="shared" si="166"/>
        <v>Guidance</v>
      </c>
      <c r="BH106" t="str">
        <f t="shared" si="145"/>
        <v>3.1.4.GY</v>
      </c>
      <c r="BI106" t="str">
        <f>IF(AND(BE106&lt;&gt;"",LEFT(BE106,1)&lt;&gt;"#"),IF(LEFT(BE106,1)="-",REPLACE(BE106,1,1,tech!$H$2),BE106),"")</f>
        <v/>
      </c>
      <c r="BJ106" t="s">
        <v>495</v>
      </c>
      <c r="BK106" s="492"/>
      <c r="BL106" t="str">
        <f t="shared" si="119"/>
        <v>Adoption and application of open standards</v>
      </c>
      <c r="BM106" t="str">
        <f t="shared" si="167"/>
        <v>References</v>
      </c>
      <c r="BN106" t="str">
        <f t="shared" si="147"/>
        <v>3.2.3.RX</v>
      </c>
      <c r="BO106" t="str">
        <f>IF(AND(BK106&lt;&gt;"",LEFT(BK106,1)&lt;&gt;"#"),IF(LEFT(BK106,1)="-",REPLACE(BK106,1,1,tech!$H$2),BK106),"")</f>
        <v/>
      </c>
      <c r="BP106" t="s">
        <v>495</v>
      </c>
      <c r="BQ106" s="492" t="s">
        <v>1153</v>
      </c>
      <c r="BR106" t="str">
        <f t="shared" si="120"/>
        <v>Audit trail can be reconstructed from audit logs</v>
      </c>
      <c r="BS106" t="str">
        <f t="shared" si="168"/>
        <v>References</v>
      </c>
      <c r="BT106" t="str">
        <f t="shared" si="149"/>
        <v>3.3.3.RY</v>
      </c>
      <c r="BU106" t="str">
        <f>IF(AND(BQ106&lt;&gt;"",LEFT(BQ106,1)&lt;&gt;"#"),IF(LEFT(BQ106,1)="-",REPLACE(BQ106,1,1,tech!$H$2),BQ106),"")</f>
        <v>• [NIST - Guide to Computer Security Log Management](https://nvlpubs.nist.gov/nistpubs/Legacy/SP/nistspecialpublication800-92.pdf)</v>
      </c>
      <c r="BV106" t="s">
        <v>495</v>
      </c>
      <c r="BW106" s="492"/>
      <c r="BX106" t="str">
        <f t="shared" si="121"/>
        <v>Incidents and exceptions handling</v>
      </c>
      <c r="BY106" t="str">
        <f t="shared" si="169"/>
        <v>References</v>
      </c>
      <c r="BZ106" t="str">
        <f t="shared" si="151"/>
        <v>3.4.3.RX</v>
      </c>
      <c r="CA106" t="str">
        <f>IF(AND(BW106&lt;&gt;"",LEFT(BW106,1)&lt;&gt;"#"),IF(LEFT(BW106,1)="-",REPLACE(BW106,1,1,tech!$H$2),BW106),"")</f>
        <v/>
      </c>
      <c r="CB106" t="s">
        <v>495</v>
      </c>
      <c r="CC106" s="492"/>
      <c r="CD106" t="str">
        <f t="shared" si="122"/>
        <v>Resources are periodically reviewed</v>
      </c>
      <c r="CE106" t="str">
        <f t="shared" si="170"/>
        <v>References</v>
      </c>
      <c r="CF106" t="str">
        <f t="shared" si="153"/>
        <v>4.1.4.RX</v>
      </c>
      <c r="CG106" t="str">
        <f>IF(AND(CC106&lt;&gt;"",LEFT(CC106,1)&lt;&gt;"#"),IF(LEFT(CC106,1)="-",REPLACE(CC106,1,1,tech!$H$2),CC106),"")</f>
        <v/>
      </c>
      <c r="CH106" t="s">
        <v>495</v>
      </c>
      <c r="CI106" s="492" t="s">
        <v>1295</v>
      </c>
      <c r="CJ106" t="str">
        <f t="shared" si="123"/>
        <v>Perform security awareness training</v>
      </c>
      <c r="CK106" t="str">
        <f t="shared" si="171"/>
        <v>References</v>
      </c>
      <c r="CL106" t="str">
        <f t="shared" si="155"/>
        <v>4.2.3.RY</v>
      </c>
      <c r="CM106" t="str">
        <f>IF(AND(CI106&lt;&gt;"",LEFT(CI106,1)&lt;&gt;"#"),IF(LEFT(CI106,1)="-",REPLACE(CI106,1,1,tech!$H$2),CI106),"")</f>
        <v>• [NIST SP 800-50 Building an Information Technology Security Awareness and Training Program](https://csrc.nist.gov/publications/detail/sp/800-50/final)</v>
      </c>
      <c r="CN106" t="s">
        <v>495</v>
      </c>
      <c r="CO106" s="492" t="s">
        <v>1378</v>
      </c>
      <c r="CP106" t="str">
        <f t="shared" si="124"/>
        <v>Timely communication of important information</v>
      </c>
      <c r="CQ106" t="str">
        <f t="shared" si="172"/>
        <v>Guidance</v>
      </c>
      <c r="CR106" t="str">
        <f t="shared" si="157"/>
        <v>4.3.4.GY</v>
      </c>
      <c r="CS106" t="str">
        <f>IF(AND(CO106&lt;&gt;"",LEFT(CO106,1)&lt;&gt;"#"),IF(LEFT(CO106,1)="-",REPLACE(CO106,1,1,tech!$H$2),CO106),"")</f>
        <v>Example of events that require timely communication may be:</v>
      </c>
      <c r="CT106" t="s">
        <v>495</v>
      </c>
    </row>
    <row r="107" spans="3:98" x14ac:dyDescent="0.25">
      <c r="C107" s="492"/>
      <c r="D107" t="str">
        <f t="shared" si="173"/>
        <v>Optimized</v>
      </c>
      <c r="E107" t="str">
        <f t="shared" si="174"/>
        <v>Associated risks</v>
      </c>
      <c r="F107" t="str">
        <f>_xlfn.CONCAT(VLOOKUP(D107,tech!$A$13:$B$17,2,0),LEFT(E107,1),IF(G107="","X","Y"))</f>
        <v>5AX</v>
      </c>
      <c r="G107" t="str">
        <f>IF(IF(LEFT(C107,1)="-",C107,"")="","",REPLACE(IF(LEFT(C107,1)="-",C107,""),1,1,tech!$H$2))</f>
        <v/>
      </c>
      <c r="H107" t="s">
        <v>495</v>
      </c>
      <c r="I107" s="492"/>
      <c r="J107" t="str">
        <f t="shared" si="127"/>
        <v>Architecture and design of the PKI</v>
      </c>
      <c r="K107" t="str">
        <f t="shared" si="158"/>
        <v>References</v>
      </c>
      <c r="L107" t="str">
        <f t="shared" si="129"/>
        <v>1.1.4.RX</v>
      </c>
      <c r="M107" t="str">
        <f>IF(AND(I107&lt;&gt;"",LEFT(I107,1)&lt;&gt;"#"),IF(LEFT(I107,1)="-",REPLACE(I107,1,1,tech!$H$2),I107),"")</f>
        <v/>
      </c>
      <c r="N107" t="s">
        <v>495</v>
      </c>
      <c r="O107" s="492"/>
      <c r="P107" t="str">
        <f t="shared" si="111"/>
        <v>Disclosure statement is documented and published</v>
      </c>
      <c r="Q107" t="str">
        <f t="shared" si="159"/>
        <v>Guidance</v>
      </c>
      <c r="R107" t="str">
        <f t="shared" si="131"/>
        <v>1.2.4.GY</v>
      </c>
      <c r="S107" t="str">
        <f>IF(AND(O107&lt;&gt;"",LEFT(O107,1)&lt;&gt;"#"),IF(LEFT(O107,1)="-",REPLACE(O107,1,1,tech!$H$2),O107),"")</f>
        <v/>
      </c>
      <c r="T107" t="s">
        <v>495</v>
      </c>
      <c r="U107" s="492"/>
      <c r="V107" t="str">
        <f t="shared" si="112"/>
        <v>List of relevant laws, regulations, and standards, exist and is maintained</v>
      </c>
      <c r="W107" t="str">
        <f t="shared" si="160"/>
        <v>Assessment</v>
      </c>
      <c r="X107" t="str">
        <f t="shared" si="133"/>
        <v>1.3.4.AX</v>
      </c>
      <c r="Y107" t="str">
        <f>IF(AND(U107&lt;&gt;"",LEFT(U107,1)&lt;&gt;"#"),IF(LEFT(U107,1)="-",REPLACE(U107,1,1,tech!$H$2),U107),"")</f>
        <v/>
      </c>
      <c r="Z107" t="s">
        <v>495</v>
      </c>
      <c r="AA107" s="492"/>
      <c r="AB107" t="str">
        <f t="shared" si="113"/>
        <v>Processes and procedures are reviewed and updated</v>
      </c>
      <c r="AC107" t="str">
        <f t="shared" si="161"/>
        <v>References</v>
      </c>
      <c r="AD107" t="str">
        <f t="shared" si="135"/>
        <v>1.4.5.RX</v>
      </c>
      <c r="AE107" t="str">
        <f>IF(AND(AA107&lt;&gt;"",LEFT(AA107,1)&lt;&gt;"#"),IF(LEFT(AA107,1)="-",REPLACE(AA107,1,1,tech!$H$2),AA107),"")</f>
        <v/>
      </c>
      <c r="AF107" t="s">
        <v>495</v>
      </c>
      <c r="AG107" s="492" t="s">
        <v>758</v>
      </c>
      <c r="AH107" t="str">
        <f t="shared" si="114"/>
        <v>Each cryptographic key is defined and has documented lifecycle procedures</v>
      </c>
      <c r="AI107" t="str">
        <f t="shared" si="162"/>
        <v>Guidance</v>
      </c>
      <c r="AJ107" t="str">
        <f t="shared" si="137"/>
        <v>2.1.4.GY</v>
      </c>
      <c r="AK107" t="str">
        <f>IF(AND(AG107&lt;&gt;"",LEFT(AG107,1)&lt;&gt;"#"),IF(LEFT(AG107,1)="-",REPLACE(AG107,1,1,tech!$H$2),AG107),"")</f>
        <v>• Procedure and records</v>
      </c>
      <c r="AL107" t="s">
        <v>495</v>
      </c>
      <c r="AM107" s="492" t="s">
        <v>838</v>
      </c>
      <c r="AN107" t="str">
        <f t="shared" si="115"/>
        <v>Certificate lifecycle management is documented</v>
      </c>
      <c r="AO107" t="str">
        <f t="shared" si="163"/>
        <v>Assessment</v>
      </c>
      <c r="AP107" t="str">
        <f t="shared" si="139"/>
        <v>2.2.3.AY</v>
      </c>
      <c r="AQ107" t="str">
        <f>IF(AND(AM107&lt;&gt;"",LEFT(AM107,1)&lt;&gt;"#"),IF(LEFT(AM107,1)="-",REPLACE(AM107,1,1,tech!$H$2),AM107),"")</f>
        <v xml:space="preserve">  * OCSP and/or CRLs</v>
      </c>
      <c r="AR107" t="s">
        <v>495</v>
      </c>
      <c r="AS107" s="492" t="s">
        <v>908</v>
      </c>
      <c r="AT107" t="str">
        <f t="shared" si="116"/>
        <v>Infrastructure recovery objectives controls</v>
      </c>
      <c r="AU107" t="str">
        <f t="shared" si="164"/>
        <v>Guidance</v>
      </c>
      <c r="AV107" t="str">
        <f t="shared" si="141"/>
        <v>2.3.4.GY</v>
      </c>
      <c r="AW107" t="str">
        <f>IF(AND(AS107&lt;&gt;"",LEFT(AS107,1)&lt;&gt;"#"),IF(LEFT(AS107,1)="-",REPLACE(AS107,1,1,tech!$H$2),AS107),"")</f>
        <v>In case of issues with the infrastructure, it should be possible to quickly identify the root cause and recover the infrastructure to the operational state. The recovery objectives should be defined and aligned with the overall business continuity and disaster recovery strategy of the organization.</v>
      </c>
      <c r="AX107" t="s">
        <v>495</v>
      </c>
      <c r="AY107" s="492"/>
      <c r="AZ107" t="str">
        <f t="shared" si="117"/>
        <v>Requirements for agility are identified</v>
      </c>
      <c r="BA107" t="str">
        <f t="shared" si="165"/>
        <v>Guidance</v>
      </c>
      <c r="BB107" t="str">
        <f t="shared" si="143"/>
        <v>2.4.4.GX</v>
      </c>
      <c r="BC107" t="str">
        <f>IF(AND(AY107&lt;&gt;"",LEFT(AY107,1)&lt;&gt;"#"),IF(LEFT(AY107,1)="-",REPLACE(AY107,1,1,tech!$H$2),AY107),"")</f>
        <v/>
      </c>
      <c r="BD107" t="s">
        <v>495</v>
      </c>
      <c r="BE107" s="492" t="s">
        <v>1039</v>
      </c>
      <c r="BF107" t="str">
        <f t="shared" si="118"/>
        <v>Technology future proofing</v>
      </c>
      <c r="BG107" t="str">
        <f t="shared" si="166"/>
        <v>Guidance</v>
      </c>
      <c r="BH107" t="str">
        <f t="shared" si="145"/>
        <v>3.1.4.GY</v>
      </c>
      <c r="BI107" t="str">
        <f>IF(AND(BE107&lt;&gt;"",LEFT(BE107,1)&lt;&gt;"#"),IF(LEFT(BE107,1)="-",REPLACE(BE107,1,1,tech!$H$2),BE107),"")</f>
        <v>When deciding to apply new technologies, or evaluating if the current technology is still suitable and support the goals of the PKI implementation, the following should be considered:</v>
      </c>
      <c r="BJ107" t="s">
        <v>495</v>
      </c>
      <c r="BK107" s="492"/>
      <c r="BL107" t="str">
        <f t="shared" si="119"/>
        <v>Adoption and application of open standards</v>
      </c>
      <c r="BM107" t="str">
        <f t="shared" si="167"/>
        <v>References</v>
      </c>
      <c r="BN107" t="str">
        <f t="shared" si="147"/>
        <v>3.2.3.RX</v>
      </c>
      <c r="BO107" t="str">
        <f>IF(AND(BK107&lt;&gt;"",LEFT(BK107,1)&lt;&gt;"#"),IF(LEFT(BK107,1)="-",REPLACE(BK107,1,1,tech!$H$2),BK107),"")</f>
        <v/>
      </c>
      <c r="BP107" t="s">
        <v>495</v>
      </c>
      <c r="BQ107" s="492" t="s">
        <v>504</v>
      </c>
      <c r="BR107" t="str">
        <f t="shared" si="120"/>
        <v>Audit trail can be reconstructed from audit logs</v>
      </c>
      <c r="BS107" t="str">
        <f t="shared" si="168"/>
        <v>References</v>
      </c>
      <c r="BT107" t="str">
        <f t="shared" si="149"/>
        <v>3.3.3.RY</v>
      </c>
      <c r="BU107" t="str">
        <f>IF(AND(BQ107&lt;&gt;"",LEFT(BQ107,1)&lt;&gt;"#"),IF(LEFT(BQ107,1)="-",REPLACE(BQ107,1,1,tech!$H$2),BQ107),"")</f>
        <v>• [ISO/IEC 27001 - Information security management systems](https://www.iso.org/standard/54534.html)</v>
      </c>
      <c r="BV107" t="s">
        <v>495</v>
      </c>
      <c r="BW107" s="492"/>
      <c r="BX107" t="str">
        <f t="shared" si="121"/>
        <v>Incidents and exceptions handling</v>
      </c>
      <c r="BY107" t="str">
        <f t="shared" si="169"/>
        <v>References</v>
      </c>
      <c r="BZ107" t="str">
        <f t="shared" si="151"/>
        <v>3.4.3.RX</v>
      </c>
      <c r="CA107" t="str">
        <f>IF(AND(BW107&lt;&gt;"",LEFT(BW107,1)&lt;&gt;"#"),IF(LEFT(BW107,1)="-",REPLACE(BW107,1,1,tech!$H$2),BW107),"")</f>
        <v/>
      </c>
      <c r="CB107" t="s">
        <v>495</v>
      </c>
      <c r="CC107" s="492"/>
      <c r="CD107" t="str">
        <f t="shared" si="122"/>
        <v>Resources are periodically reviewed</v>
      </c>
      <c r="CE107" t="str">
        <f t="shared" si="170"/>
        <v>References</v>
      </c>
      <c r="CF107" t="str">
        <f t="shared" si="153"/>
        <v>4.1.4.RX</v>
      </c>
      <c r="CG107" t="str">
        <f>IF(AND(CC107&lt;&gt;"",LEFT(CC107,1)&lt;&gt;"#"),IF(LEFT(CC107,1)="-",REPLACE(CC107,1,1,tech!$H$2),CC107),"")</f>
        <v/>
      </c>
      <c r="CH107" t="s">
        <v>495</v>
      </c>
      <c r="CI107" s="492" t="s">
        <v>1307</v>
      </c>
      <c r="CJ107" t="str">
        <f t="shared" si="123"/>
        <v>Perform security awareness training</v>
      </c>
      <c r="CK107" t="str">
        <f t="shared" si="171"/>
        <v>References</v>
      </c>
      <c r="CL107" t="str">
        <f t="shared" si="155"/>
        <v>4.2.3.RY</v>
      </c>
      <c r="CM107" t="str">
        <f>IF(AND(CI107&lt;&gt;"",LEFT(CI107,1)&lt;&gt;"#"),IF(LEFT(CI107,1)="-",REPLACE(CI107,1,1,tech!$H$2),CI107),"")</f>
        <v>• [PCI SSC - Best Practices for Implementing a</v>
      </c>
      <c r="CN107" t="s">
        <v>495</v>
      </c>
      <c r="CO107" s="492" t="s">
        <v>1487</v>
      </c>
      <c r="CP107" t="str">
        <f t="shared" si="124"/>
        <v>Timely communication of important information</v>
      </c>
      <c r="CQ107" t="str">
        <f t="shared" si="172"/>
        <v>Guidance</v>
      </c>
      <c r="CR107" t="str">
        <f t="shared" si="157"/>
        <v>4.3.4.GY</v>
      </c>
      <c r="CS107" t="str">
        <f>IF(AND(CO107&lt;&gt;"",LEFT(CO107,1)&lt;&gt;"#"),IF(LEFT(CO107,1)="-",REPLACE(CO107,1,1,tech!$H$2),CO107),"")</f>
        <v>• Compromise of the private key</v>
      </c>
      <c r="CT107" t="s">
        <v>495</v>
      </c>
    </row>
    <row r="108" spans="3:98" x14ac:dyDescent="0.25">
      <c r="C108" s="492"/>
      <c r="D108" t="str">
        <f t="shared" si="173"/>
        <v>Optimized</v>
      </c>
      <c r="E108" t="str">
        <f t="shared" si="174"/>
        <v>Associated risks</v>
      </c>
      <c r="F108" t="str">
        <f>_xlfn.CONCAT(VLOOKUP(D108,tech!$A$13:$B$17,2,0),LEFT(E108,1),IF(G108="","X","Y"))</f>
        <v>5AX</v>
      </c>
      <c r="G108" t="str">
        <f>IF(IF(LEFT(C108,1)="-",C108,"")="","",REPLACE(IF(LEFT(C108,1)="-",C108,""),1,1,tech!$H$2))</f>
        <v/>
      </c>
      <c r="H108" t="s">
        <v>495</v>
      </c>
      <c r="I108" s="492"/>
      <c r="J108" t="str">
        <f t="shared" si="127"/>
        <v>Architecture and design of the PKI</v>
      </c>
      <c r="K108" t="str">
        <f t="shared" si="158"/>
        <v>References</v>
      </c>
      <c r="L108" t="str">
        <f t="shared" si="129"/>
        <v>1.1.4.RX</v>
      </c>
      <c r="M108" t="str">
        <f>IF(AND(I108&lt;&gt;"",LEFT(I108,1)&lt;&gt;"#"),IF(LEFT(I108,1)="-",REPLACE(I108,1,1,tech!$H$2),I108),"")</f>
        <v/>
      </c>
      <c r="N108" t="s">
        <v>495</v>
      </c>
      <c r="O108" s="492" t="s">
        <v>564</v>
      </c>
      <c r="P108" t="str">
        <f t="shared" si="111"/>
        <v>Disclosure statement is documented and published</v>
      </c>
      <c r="Q108" t="str">
        <f t="shared" si="159"/>
        <v>Guidance</v>
      </c>
      <c r="R108" t="str">
        <f t="shared" si="131"/>
        <v>1.2.4.GY</v>
      </c>
      <c r="S108" t="str">
        <f>IF(AND(O108&lt;&gt;"",LEFT(O108,1)&lt;&gt;"#"),IF(LEFT(O108,1)="-",REPLACE(O108,1,1,tech!$H$2),O108),"")</f>
        <v>It typically includes information like:</v>
      </c>
      <c r="T108" t="s">
        <v>495</v>
      </c>
      <c r="U108" s="492" t="s">
        <v>503</v>
      </c>
      <c r="V108" t="str">
        <f t="shared" si="112"/>
        <v>List of relevant laws, regulations, and standards, exist and is maintained</v>
      </c>
      <c r="W108" t="str">
        <f t="shared" si="160"/>
        <v>References</v>
      </c>
      <c r="X108" t="str">
        <f t="shared" si="133"/>
        <v>1.3.4.RX</v>
      </c>
      <c r="Y108" t="str">
        <f>IF(AND(U108&lt;&gt;"",LEFT(U108,1)&lt;&gt;"#"),IF(LEFT(U108,1)="-",REPLACE(U108,1,1,tech!$H$2),U108),"")</f>
        <v/>
      </c>
      <c r="Z108" t="s">
        <v>495</v>
      </c>
      <c r="AA108" s="492" t="s">
        <v>498</v>
      </c>
      <c r="AB108" t="str">
        <f t="shared" si="113"/>
        <v>Processes and procedures are reviewed and updated</v>
      </c>
      <c r="AC108" t="str">
        <f t="shared" si="161"/>
        <v>Guidance</v>
      </c>
      <c r="AD108" t="str">
        <f t="shared" si="135"/>
        <v>1.4.5.GX</v>
      </c>
      <c r="AE108" t="str">
        <f>IF(AND(AA108&lt;&gt;"",LEFT(AA108,1)&lt;&gt;"#"),IF(LEFT(AA108,1)="-",REPLACE(AA108,1,1,tech!$H$2),AA108),"")</f>
        <v/>
      </c>
      <c r="AF108" t="s">
        <v>495</v>
      </c>
      <c r="AG108" s="492"/>
      <c r="AH108" t="str">
        <f t="shared" si="114"/>
        <v>Each cryptographic key is defined and has documented lifecycle procedures</v>
      </c>
      <c r="AI108" t="str">
        <f t="shared" si="162"/>
        <v>Guidance</v>
      </c>
      <c r="AJ108" t="str">
        <f t="shared" si="137"/>
        <v>2.1.4.GX</v>
      </c>
      <c r="AK108" t="str">
        <f>IF(AND(AG108&lt;&gt;"",LEFT(AG108,1)&lt;&gt;"#"),IF(LEFT(AG108,1)="-",REPLACE(AG108,1,1,tech!$H$2),AG108),"")</f>
        <v/>
      </c>
      <c r="AL108" t="s">
        <v>495</v>
      </c>
      <c r="AM108" s="492" t="s">
        <v>839</v>
      </c>
      <c r="AN108" t="str">
        <f t="shared" si="115"/>
        <v>Certificate lifecycle management is documented</v>
      </c>
      <c r="AO108" t="str">
        <f t="shared" si="163"/>
        <v>Assessment</v>
      </c>
      <c r="AP108" t="str">
        <f t="shared" si="139"/>
        <v>2.2.3.AY</v>
      </c>
      <c r="AQ108" t="str">
        <f>IF(AND(AM108&lt;&gt;"",LEFT(AM108,1)&lt;&gt;"#"),IF(LEFT(AM108,1)="-",REPLACE(AM108,1,1,tech!$H$2),AM108),"")</f>
        <v xml:space="preserve">  * Documentation how relying parties get access to revocation information</v>
      </c>
      <c r="AR108" t="s">
        <v>495</v>
      </c>
      <c r="AS108" s="492"/>
      <c r="AT108" t="str">
        <f t="shared" si="116"/>
        <v>Infrastructure recovery objectives controls</v>
      </c>
      <c r="AU108" t="str">
        <f t="shared" si="164"/>
        <v>Guidance</v>
      </c>
      <c r="AV108" t="str">
        <f t="shared" si="141"/>
        <v>2.3.4.GY</v>
      </c>
      <c r="AW108" t="str">
        <f>IF(AND(AS108&lt;&gt;"",LEFT(AS108,1)&lt;&gt;"#"),IF(LEFT(AS108,1)="-",REPLACE(AS108,1,1,tech!$H$2),AS108),"")</f>
        <v/>
      </c>
      <c r="AX108" t="s">
        <v>495</v>
      </c>
      <c r="AY108" s="492" t="s">
        <v>975</v>
      </c>
      <c r="AZ108" t="str">
        <f t="shared" si="117"/>
        <v>Requirements for agility are identified</v>
      </c>
      <c r="BA108" t="str">
        <f t="shared" si="165"/>
        <v>Guidance</v>
      </c>
      <c r="BB108" t="str">
        <f t="shared" si="143"/>
        <v>2.4.4.GY</v>
      </c>
      <c r="BC108" t="str">
        <f>IF(AND(AY108&lt;&gt;"",LEFT(AY108,1)&lt;&gt;"#"),IF(LEFT(AY108,1)="-",REPLACE(AY108,1,1,tech!$H$2),AY108),"")</f>
        <v>Agility provides the ability to adapt to changes quickly and efficiently. Agility and change management are closely related and should be considered together. The future-proof PKI implementation should be able to identify the requirements for agility and implement them in a timely manner.</v>
      </c>
      <c r="BD108" t="s">
        <v>495</v>
      </c>
      <c r="BE108" s="492" t="s">
        <v>1071</v>
      </c>
      <c r="BF108" t="str">
        <f t="shared" si="118"/>
        <v>Technology future proofing</v>
      </c>
      <c r="BG108" t="str">
        <f t="shared" si="166"/>
        <v>Guidance</v>
      </c>
      <c r="BH108" t="str">
        <f t="shared" si="145"/>
        <v>3.1.4.GY</v>
      </c>
      <c r="BI108" t="str">
        <f>IF(AND(BE108&lt;&gt;"",LEFT(BE108,1)&lt;&gt;"#"),IF(LEFT(BE108,1)="-",REPLACE(BE108,1,1,tech!$H$2),BE108),"")</f>
        <v>• Technology is supported by the Vendor</v>
      </c>
      <c r="BJ108" t="s">
        <v>495</v>
      </c>
      <c r="BK108" s="492"/>
      <c r="BL108" t="str">
        <f t="shared" si="119"/>
        <v>Adoption and application of open standards</v>
      </c>
      <c r="BM108" t="str">
        <f t="shared" si="167"/>
        <v>References</v>
      </c>
      <c r="BN108" t="str">
        <f t="shared" si="147"/>
        <v>3.2.3.RX</v>
      </c>
      <c r="BO108" t="str">
        <f>IF(AND(BK108&lt;&gt;"",LEFT(BK108,1)&lt;&gt;"#"),IF(LEFT(BK108,1)="-",REPLACE(BK108,1,1,tech!$H$2),BK108),"")</f>
        <v/>
      </c>
      <c r="BP108" t="s">
        <v>495</v>
      </c>
      <c r="BQ108" s="492" t="s">
        <v>1146</v>
      </c>
      <c r="BR108" t="str">
        <f t="shared" si="120"/>
        <v>Audit trail can be reconstructed from audit logs</v>
      </c>
      <c r="BS108" t="str">
        <f t="shared" si="168"/>
        <v>References</v>
      </c>
      <c r="BT108" t="str">
        <f t="shared" si="149"/>
        <v>3.3.3.RY</v>
      </c>
      <c r="BU108" t="str">
        <f>IF(AND(BQ108&lt;&gt;"",LEFT(BQ108,1)&lt;&gt;"#"),IF(LEFT(BQ108,1)="-",REPLACE(BQ108,1,1,tech!$H$2),BQ108),"")</f>
        <v>• [ISO/IEC 27099 - Public key infrastructure](https://www.iso.org/standard/56590.html)</v>
      </c>
      <c r="BV108" t="s">
        <v>495</v>
      </c>
      <c r="BW108" s="492"/>
      <c r="BX108" t="str">
        <f t="shared" si="121"/>
        <v>Incidents and exceptions handling</v>
      </c>
      <c r="BY108" t="str">
        <f t="shared" si="169"/>
        <v>References</v>
      </c>
      <c r="BZ108" t="str">
        <f t="shared" si="151"/>
        <v>3.4.3.RX</v>
      </c>
      <c r="CA108" t="str">
        <f>IF(AND(BW108&lt;&gt;"",LEFT(BW108,1)&lt;&gt;"#"),IF(LEFT(BW108,1)="-",REPLACE(BW108,1,1,tech!$H$2),BW108),"")</f>
        <v/>
      </c>
      <c r="CB108" t="s">
        <v>495</v>
      </c>
      <c r="CC108" s="492"/>
      <c r="CD108" t="str">
        <f t="shared" si="122"/>
        <v>Resources are periodically reviewed</v>
      </c>
      <c r="CE108" t="str">
        <f t="shared" si="170"/>
        <v>References</v>
      </c>
      <c r="CF108" t="str">
        <f t="shared" si="153"/>
        <v>4.1.4.RX</v>
      </c>
      <c r="CG108" t="str">
        <f>IF(AND(CC108&lt;&gt;"",LEFT(CC108,1)&lt;&gt;"#"),IF(LEFT(CC108,1)="-",REPLACE(CC108,1,1,tech!$H$2),CC108),"")</f>
        <v/>
      </c>
      <c r="CH108" t="s">
        <v>495</v>
      </c>
      <c r="CI108" s="492" t="s">
        <v>1308</v>
      </c>
      <c r="CJ108" t="str">
        <f t="shared" si="123"/>
        <v>Perform security awareness training</v>
      </c>
      <c r="CK108" t="str">
        <f t="shared" si="171"/>
        <v>References</v>
      </c>
      <c r="CL108" t="str">
        <f t="shared" si="155"/>
        <v>4.2.3.RY</v>
      </c>
      <c r="CM108" t="str">
        <f>IF(AND(CI108&lt;&gt;"",LEFT(CI108,1)&lt;&gt;"#"),IF(LEFT(CI108,1)="-",REPLACE(CI108,1,1,tech!$H$2),CI108),"")</f>
        <v xml:space="preserve">  Security Awareness Program](https://docs-prv.pcisecuritystandards.org/Guidance%20Document/Security%20Awareness%20Program/PCI_DSS_V1.0_Best_Practices_for_Implementing_Security_Awareness_Program.pdf)</v>
      </c>
      <c r="CN108" t="s">
        <v>495</v>
      </c>
      <c r="CO108" s="492" t="s">
        <v>1488</v>
      </c>
      <c r="CP108" t="str">
        <f t="shared" si="124"/>
        <v>Timely communication of important information</v>
      </c>
      <c r="CQ108" t="str">
        <f t="shared" si="172"/>
        <v>Guidance</v>
      </c>
      <c r="CR108" t="str">
        <f t="shared" si="157"/>
        <v>4.3.4.GY</v>
      </c>
      <c r="CS108" t="str">
        <f>IF(AND(CO108&lt;&gt;"",LEFT(CO108,1)&lt;&gt;"#"),IF(LEFT(CO108,1)="-",REPLACE(CO108,1,1,tech!$H$2),CO108),"")</f>
        <v>• changes in the Certificate Policy</v>
      </c>
      <c r="CT108" t="s">
        <v>495</v>
      </c>
    </row>
    <row r="109" spans="3:98" x14ac:dyDescent="0.25">
      <c r="C109" s="492"/>
      <c r="D109" t="str">
        <f t="shared" si="173"/>
        <v>Optimized</v>
      </c>
      <c r="E109" t="str">
        <f t="shared" si="174"/>
        <v>Associated risks</v>
      </c>
      <c r="F109" t="str">
        <f>_xlfn.CONCAT(VLOOKUP(D109,tech!$A$13:$B$17,2,0),LEFT(E109,1),IF(G109="","X","Y"))</f>
        <v>5AX</v>
      </c>
      <c r="G109" t="str">
        <f>IF(IF(LEFT(C109,1)="-",C109,"")="","",REPLACE(IF(LEFT(C109,1)="-",C109,""),1,1,tech!$H$2))</f>
        <v/>
      </c>
      <c r="H109" t="s">
        <v>495</v>
      </c>
      <c r="I109" s="492"/>
      <c r="J109" t="str">
        <f t="shared" si="127"/>
        <v>Architecture and design of the PKI</v>
      </c>
      <c r="K109" t="str">
        <f t="shared" si="158"/>
        <v>References</v>
      </c>
      <c r="L109" t="str">
        <f t="shared" si="129"/>
        <v>1.1.4.RX</v>
      </c>
      <c r="M109" t="str">
        <f>IF(AND(I109&lt;&gt;"",LEFT(I109,1)&lt;&gt;"#"),IF(LEFT(I109,1)="-",REPLACE(I109,1,1,tech!$H$2),I109),"")</f>
        <v/>
      </c>
      <c r="N109" t="s">
        <v>495</v>
      </c>
      <c r="O109" s="492" t="s">
        <v>565</v>
      </c>
      <c r="P109" t="str">
        <f t="shared" si="111"/>
        <v>Disclosure statement is documented and published</v>
      </c>
      <c r="Q109" t="str">
        <f t="shared" si="159"/>
        <v>Guidance</v>
      </c>
      <c r="R109" t="str">
        <f t="shared" si="131"/>
        <v>1.2.4.GY</v>
      </c>
      <c r="S109" t="str">
        <f>IF(AND(O109&lt;&gt;"",LEFT(O109,1)&lt;&gt;"#"),IF(LEFT(O109,1)="-",REPLACE(O109,1,1,tech!$H$2),O109),"")</f>
        <v>• CA's identity, legal status, and contact information</v>
      </c>
      <c r="T109" t="s">
        <v>495</v>
      </c>
      <c r="U109" s="492"/>
      <c r="V109" t="str">
        <f t="shared" si="112"/>
        <v>List of relevant laws, regulations, and standards, exist and is maintained</v>
      </c>
      <c r="W109" t="str">
        <f t="shared" si="160"/>
        <v>References</v>
      </c>
      <c r="X109" t="str">
        <f t="shared" si="133"/>
        <v>1.3.4.RX</v>
      </c>
      <c r="Y109" t="str">
        <f>IF(AND(U109&lt;&gt;"",LEFT(U109,1)&lt;&gt;"#"),IF(LEFT(U109,1)="-",REPLACE(U109,1,1,tech!$H$2),U109),"")</f>
        <v/>
      </c>
      <c r="Z109" t="s">
        <v>495</v>
      </c>
      <c r="AA109" s="492"/>
      <c r="AB109" t="str">
        <f t="shared" si="113"/>
        <v>Processes and procedures are reviewed and updated</v>
      </c>
      <c r="AC109" t="str">
        <f t="shared" si="161"/>
        <v>Guidance</v>
      </c>
      <c r="AD109" t="str">
        <f t="shared" si="135"/>
        <v>1.4.5.GX</v>
      </c>
      <c r="AE109" t="str">
        <f>IF(AND(AA109&lt;&gt;"",LEFT(AA109,1)&lt;&gt;"#"),IF(LEFT(AA109,1)="-",REPLACE(AA109,1,1,tech!$H$2),AA109),"")</f>
        <v/>
      </c>
      <c r="AF109" t="s">
        <v>495</v>
      </c>
      <c r="AG109" s="492" t="s">
        <v>501</v>
      </c>
      <c r="AH109" t="str">
        <f t="shared" si="114"/>
        <v>Each cryptographic key is defined and has documented lifecycle procedures</v>
      </c>
      <c r="AI109" t="str">
        <f t="shared" si="162"/>
        <v>Assessment</v>
      </c>
      <c r="AJ109" t="str">
        <f t="shared" si="137"/>
        <v>2.1.4.AX</v>
      </c>
      <c r="AK109" t="str">
        <f>IF(AND(AG109&lt;&gt;"",LEFT(AG109,1)&lt;&gt;"#"),IF(LEFT(AG109,1)="-",REPLACE(AG109,1,1,tech!$H$2),AG109),"")</f>
        <v/>
      </c>
      <c r="AL109" t="s">
        <v>495</v>
      </c>
      <c r="AM109" s="492" t="s">
        <v>840</v>
      </c>
      <c r="AN109" t="str">
        <f t="shared" si="115"/>
        <v>Certificate lifecycle management is documented</v>
      </c>
      <c r="AO109" t="str">
        <f t="shared" si="163"/>
        <v>Assessment</v>
      </c>
      <c r="AP109" t="str">
        <f t="shared" si="139"/>
        <v>2.2.3.AY</v>
      </c>
      <c r="AQ109" t="str">
        <f>IF(AND(AM109&lt;&gt;"",LEFT(AM109,1)&lt;&gt;"#"),IF(LEFT(AM109,1)="-",REPLACE(AM109,1,1,tech!$H$2),AM109),"")</f>
        <v>* Documented process for key escrow and recovery when encryption keys need to be stored centrally</v>
      </c>
      <c r="AR109" t="s">
        <v>495</v>
      </c>
      <c r="AS109" s="492" t="s">
        <v>909</v>
      </c>
      <c r="AT109" t="str">
        <f t="shared" si="116"/>
        <v>Infrastructure recovery objectives controls</v>
      </c>
      <c r="AU109" t="str">
        <f t="shared" si="164"/>
        <v>Guidance</v>
      </c>
      <c r="AV109" t="str">
        <f t="shared" si="141"/>
        <v>2.3.4.GY</v>
      </c>
      <c r="AW109" t="str">
        <f>IF(AND(AS109&lt;&gt;"",LEFT(AS109,1)&lt;&gt;"#"),IF(LEFT(AS109,1)="-",REPLACE(AS109,1,1,tech!$H$2),AS109),"")</f>
        <v>The infrastructure should be frequently backed up and the backups should be stored in a secure location. The backups should be tested and validated on a regular basis. Infrastructure managed as code may help to reduce complexity and increase the speed of recovery.</v>
      </c>
      <c r="AX109" t="s">
        <v>495</v>
      </c>
      <c r="AY109" s="492"/>
      <c r="AZ109" t="str">
        <f t="shared" si="117"/>
        <v>Requirements for agility are identified</v>
      </c>
      <c r="BA109" t="str">
        <f t="shared" si="165"/>
        <v>Guidance</v>
      </c>
      <c r="BB109" t="str">
        <f t="shared" si="143"/>
        <v>2.4.4.GY</v>
      </c>
      <c r="BC109" t="str">
        <f>IF(AND(AY109&lt;&gt;"",LEFT(AY109,1)&lt;&gt;"#"),IF(LEFT(AY109,1)="-",REPLACE(AY109,1,1,tech!$H$2),AY109),"")</f>
        <v/>
      </c>
      <c r="BD109" t="s">
        <v>495</v>
      </c>
      <c r="BE109" s="492" t="s">
        <v>1072</v>
      </c>
      <c r="BF109" t="str">
        <f t="shared" si="118"/>
        <v>Technology future proofing</v>
      </c>
      <c r="BG109" t="str">
        <f t="shared" si="166"/>
        <v>Guidance</v>
      </c>
      <c r="BH109" t="str">
        <f t="shared" si="145"/>
        <v>3.1.4.GY</v>
      </c>
      <c r="BI109" t="str">
        <f>IF(AND(BE109&lt;&gt;"",LEFT(BE109,1)&lt;&gt;"#"),IF(LEFT(BE109,1)="-",REPLACE(BE109,1,1,tech!$H$2),BE109),"")</f>
        <v>• Industry standards are applied for interoperability and Security</v>
      </c>
      <c r="BJ109" t="s">
        <v>495</v>
      </c>
      <c r="BK109" s="492"/>
      <c r="BL109" t="str">
        <f t="shared" si="119"/>
        <v>Adoption and application of open standards</v>
      </c>
      <c r="BM109" t="str">
        <f t="shared" si="167"/>
        <v>References</v>
      </c>
      <c r="BN109" t="str">
        <f t="shared" si="147"/>
        <v>3.2.3.RX</v>
      </c>
      <c r="BO109" t="str">
        <f>IF(AND(BK109&lt;&gt;"",LEFT(BK109,1)&lt;&gt;"#"),IF(LEFT(BK109,1)="-",REPLACE(BK109,1,1,tech!$H$2),BK109),"")</f>
        <v/>
      </c>
      <c r="BP109" t="s">
        <v>495</v>
      </c>
      <c r="BQ109" s="492"/>
      <c r="BR109" t="str">
        <f t="shared" si="120"/>
        <v>Audit trail can be reconstructed from audit logs</v>
      </c>
      <c r="BS109" t="str">
        <f t="shared" si="168"/>
        <v>References</v>
      </c>
      <c r="BT109" t="str">
        <f t="shared" si="149"/>
        <v>3.3.3.RX</v>
      </c>
      <c r="BU109" t="str">
        <f>IF(AND(BQ109&lt;&gt;"",LEFT(BQ109,1)&lt;&gt;"#"),IF(LEFT(BQ109,1)="-",REPLACE(BQ109,1,1,tech!$H$2),BQ109),"")</f>
        <v/>
      </c>
      <c r="BV109" t="s">
        <v>495</v>
      </c>
      <c r="BW109" s="492"/>
      <c r="BX109" t="str">
        <f t="shared" si="121"/>
        <v>Incidents and exceptions handling</v>
      </c>
      <c r="BY109" t="str">
        <f t="shared" si="169"/>
        <v>References</v>
      </c>
      <c r="BZ109" t="str">
        <f t="shared" si="151"/>
        <v>3.4.3.RX</v>
      </c>
      <c r="CA109" t="str">
        <f>IF(AND(BW109&lt;&gt;"",LEFT(BW109,1)&lt;&gt;"#"),IF(LEFT(BW109,1)="-",REPLACE(BW109,1,1,tech!$H$2),BW109),"")</f>
        <v/>
      </c>
      <c r="CB109" t="s">
        <v>495</v>
      </c>
      <c r="CC109" s="492"/>
      <c r="CD109" t="str">
        <f t="shared" si="122"/>
        <v>Resources are periodically reviewed</v>
      </c>
      <c r="CE109" t="str">
        <f t="shared" si="170"/>
        <v>References</v>
      </c>
      <c r="CF109" t="str">
        <f t="shared" si="153"/>
        <v>4.1.4.RX</v>
      </c>
      <c r="CG109" t="str">
        <f>IF(AND(CC109&lt;&gt;"",LEFT(CC109,1)&lt;&gt;"#"),IF(LEFT(CC109,1)="-",REPLACE(CC109,1,1,tech!$H$2),CC109),"")</f>
        <v/>
      </c>
      <c r="CH109" t="s">
        <v>495</v>
      </c>
      <c r="CI109" s="492" t="s">
        <v>1309</v>
      </c>
      <c r="CJ109" t="str">
        <f t="shared" si="123"/>
        <v>Perform security awareness training</v>
      </c>
      <c r="CK109" t="str">
        <f t="shared" si="171"/>
        <v>References</v>
      </c>
      <c r="CL109" t="str">
        <f t="shared" si="155"/>
        <v>4.2.3.RY</v>
      </c>
      <c r="CM109" t="str">
        <f>IF(AND(CI109&lt;&gt;"",LEFT(CI109,1)&lt;&gt;"#"),IF(LEFT(CI109,1)="-",REPLACE(CI109,1,1,tech!$H$2),CI109),"")</f>
        <v>• [Raising Awareness of Cybersecurity](https://www.enisa.europa.eu/publications/raising-awareness-of-cybersecurity)</v>
      </c>
      <c r="CN109" t="s">
        <v>495</v>
      </c>
      <c r="CO109" s="492" t="s">
        <v>1489</v>
      </c>
      <c r="CP109" t="str">
        <f t="shared" si="124"/>
        <v>Timely communication of important information</v>
      </c>
      <c r="CQ109" t="str">
        <f t="shared" si="172"/>
        <v>Guidance</v>
      </c>
      <c r="CR109" t="str">
        <f t="shared" si="157"/>
        <v>4.3.4.GY</v>
      </c>
      <c r="CS109" t="str">
        <f>IF(AND(CO109&lt;&gt;"",LEFT(CO109,1)&lt;&gt;"#"),IF(LEFT(CO109,1)="-",REPLACE(CO109,1,1,tech!$H$2),CO109),"")</f>
        <v>• changes in the Certification Practice Statement</v>
      </c>
      <c r="CT109" t="s">
        <v>495</v>
      </c>
    </row>
    <row r="110" spans="3:98" x14ac:dyDescent="0.25">
      <c r="C110" s="492"/>
      <c r="D110" t="str">
        <f t="shared" si="173"/>
        <v>Optimized</v>
      </c>
      <c r="E110" t="str">
        <f t="shared" si="174"/>
        <v>Associated risks</v>
      </c>
      <c r="F110" t="str">
        <f>_xlfn.CONCAT(VLOOKUP(D110,tech!$A$13:$B$17,2,0),LEFT(E110,1),IF(G110="","X","Y"))</f>
        <v>5AX</v>
      </c>
      <c r="G110" t="str">
        <f>IF(IF(LEFT(C110,1)="-",C110,"")="","",REPLACE(IF(LEFT(C110,1)="-",C110,""),1,1,tech!$H$2))</f>
        <v/>
      </c>
      <c r="H110" t="s">
        <v>495</v>
      </c>
      <c r="I110" s="492"/>
      <c r="J110" t="str">
        <f t="shared" si="127"/>
        <v>Architecture and design of the PKI</v>
      </c>
      <c r="K110" t="str">
        <f t="shared" si="158"/>
        <v>References</v>
      </c>
      <c r="L110" t="str">
        <f t="shared" si="129"/>
        <v>1.1.4.RX</v>
      </c>
      <c r="M110" t="str">
        <f>IF(AND(I110&lt;&gt;"",LEFT(I110,1)&lt;&gt;"#"),IF(LEFT(I110,1)="-",REPLACE(I110,1,1,tech!$H$2),I110),"")</f>
        <v/>
      </c>
      <c r="N110" t="s">
        <v>495</v>
      </c>
      <c r="O110" s="492" t="s">
        <v>566</v>
      </c>
      <c r="P110" t="str">
        <f t="shared" si="111"/>
        <v>Disclosure statement is documented and published</v>
      </c>
      <c r="Q110" t="str">
        <f t="shared" si="159"/>
        <v>Guidance</v>
      </c>
      <c r="R110" t="str">
        <f t="shared" si="131"/>
        <v>1.2.4.GY</v>
      </c>
      <c r="S110" t="str">
        <f>IF(AND(O110&lt;&gt;"",LEFT(O110,1)&lt;&gt;"#"),IF(LEFT(O110,1)="-",REPLACE(O110,1,1,tech!$H$2),O110),"")</f>
        <v>• Certificate types, verification procedures and compliance with standards</v>
      </c>
      <c r="T110" t="s">
        <v>495</v>
      </c>
      <c r="U110" s="492" t="s">
        <v>625</v>
      </c>
      <c r="V110" t="str">
        <f t="shared" si="112"/>
        <v>List of relevant laws, regulations, and standards, exist and is maintained</v>
      </c>
      <c r="W110" t="str">
        <f t="shared" si="160"/>
        <v>References</v>
      </c>
      <c r="X110" t="str">
        <f t="shared" si="133"/>
        <v>1.3.4.RY</v>
      </c>
      <c r="Y110" t="str">
        <f>IF(AND(U110&lt;&gt;"",LEFT(U110,1)&lt;&gt;"#"),IF(LEFT(U110,1)="-",REPLACE(U110,1,1,tech!$H$2),U110),"")</f>
        <v>• [ISO 37301 - Compliance management systems and related standard](https://www.iso.org/standard/75080.html)</v>
      </c>
      <c r="Z110" t="s">
        <v>495</v>
      </c>
      <c r="AA110" s="492" t="s">
        <v>678</v>
      </c>
      <c r="AB110" t="str">
        <f t="shared" si="113"/>
        <v>Processes and procedures are reviewed and updated</v>
      </c>
      <c r="AC110" t="str">
        <f t="shared" si="161"/>
        <v>Guidance</v>
      </c>
      <c r="AD110" t="str">
        <f t="shared" si="135"/>
        <v>1.4.5.GY</v>
      </c>
      <c r="AE110" t="str">
        <f>IF(AND(AA110&lt;&gt;"",LEFT(AA110,1)&lt;&gt;"#"),IF(LEFT(AA110,1)="-",REPLACE(AA110,1,1,tech!$H$2),AA110),"")</f>
        <v>The processes and procedures should be reviewed and updated on a regular basis, based on the feedback, risk assessment, audit, or other. The review should be performed by the management, and the updates should be approved by the management.</v>
      </c>
      <c r="AF110" t="s">
        <v>495</v>
      </c>
      <c r="AG110" s="492"/>
      <c r="AH110" t="str">
        <f t="shared" si="114"/>
        <v>Each cryptographic key is defined and has documented lifecycle procedures</v>
      </c>
      <c r="AI110" t="str">
        <f t="shared" si="162"/>
        <v>Assessment</v>
      </c>
      <c r="AJ110" t="str">
        <f t="shared" si="137"/>
        <v>2.1.4.AX</v>
      </c>
      <c r="AK110" t="str">
        <f>IF(AND(AG110&lt;&gt;"",LEFT(AG110,1)&lt;&gt;"#"),IF(LEFT(AG110,1)="-",REPLACE(AG110,1,1,tech!$H$2),AG110),"")</f>
        <v/>
      </c>
      <c r="AL110" t="s">
        <v>495</v>
      </c>
      <c r="AM110" s="492" t="s">
        <v>841</v>
      </c>
      <c r="AN110" t="str">
        <f t="shared" si="115"/>
        <v>Certificate lifecycle management is documented</v>
      </c>
      <c r="AO110" t="str">
        <f t="shared" si="163"/>
        <v>Assessment</v>
      </c>
      <c r="AP110" t="str">
        <f t="shared" si="139"/>
        <v>2.2.3.AY</v>
      </c>
      <c r="AQ110" t="str">
        <f>IF(AND(AM110&lt;&gt;"",LEFT(AM110,1)&lt;&gt;"#"),IF(LEFT(AM110,1)="-",REPLACE(AM110,1,1,tech!$H$2),AM110),"")</f>
        <v>* Documented trust anchor management</v>
      </c>
      <c r="AR110" t="s">
        <v>495</v>
      </c>
      <c r="AS110" s="492"/>
      <c r="AT110" t="str">
        <f t="shared" si="116"/>
        <v>Infrastructure recovery objectives controls</v>
      </c>
      <c r="AU110" t="str">
        <f t="shared" si="164"/>
        <v>Guidance</v>
      </c>
      <c r="AV110" t="str">
        <f t="shared" si="141"/>
        <v>2.3.4.GX</v>
      </c>
      <c r="AW110" t="str">
        <f>IF(AND(AS110&lt;&gt;"",LEFT(AS110,1)&lt;&gt;"#"),IF(LEFT(AS110,1)="-",REPLACE(AS110,1,1,tech!$H$2),AS110),"")</f>
        <v/>
      </c>
      <c r="AX110" t="s">
        <v>495</v>
      </c>
      <c r="AY110" s="492" t="s">
        <v>976</v>
      </c>
      <c r="AZ110" t="str">
        <f t="shared" si="117"/>
        <v>Requirements for agility are identified</v>
      </c>
      <c r="BA110" t="str">
        <f t="shared" si="165"/>
        <v>Guidance</v>
      </c>
      <c r="BB110" t="str">
        <f t="shared" si="143"/>
        <v>2.4.4.GY</v>
      </c>
      <c r="BC110" t="str">
        <f>IF(AND(AY110&lt;&gt;"",LEFT(AY110,1)&lt;&gt;"#"),IF(LEFT(AY110,1)="-",REPLACE(AY110,1,1,tech!$H$2),AY110),"")</f>
        <v>Agility can be considered on operational and technical levels. Operational agility means that the PKI is able to adapt to changes in the operational environment, including any changes to the organizational structure, processes, and other operational aspects. Technical agility means that the PKI is able to adapt to changes in the technologies, algorithms, protocols, and other technical aspects.</v>
      </c>
      <c r="BD110" t="s">
        <v>495</v>
      </c>
      <c r="BE110" s="492" t="s">
        <v>1073</v>
      </c>
      <c r="BF110" t="str">
        <f t="shared" si="118"/>
        <v>Technology future proofing</v>
      </c>
      <c r="BG110" t="str">
        <f t="shared" si="166"/>
        <v>Guidance</v>
      </c>
      <c r="BH110" t="str">
        <f t="shared" si="145"/>
        <v>3.1.4.GY</v>
      </c>
      <c r="BI110" t="str">
        <f>IF(AND(BE110&lt;&gt;"",LEFT(BE110,1)&lt;&gt;"#"),IF(LEFT(BE110,1)="-",REPLACE(BE110,1,1,tech!$H$2),BE110),"")</f>
        <v>• Review and references on the Vendor and Technology</v>
      </c>
      <c r="BJ110" t="s">
        <v>495</v>
      </c>
      <c r="BK110" s="492"/>
      <c r="BL110" t="str">
        <f t="shared" si="119"/>
        <v>Adoption and application of open standards</v>
      </c>
      <c r="BM110" t="str">
        <f t="shared" si="167"/>
        <v>References</v>
      </c>
      <c r="BN110" t="str">
        <f t="shared" si="147"/>
        <v>3.2.3.RX</v>
      </c>
      <c r="BO110" t="str">
        <f>IF(AND(BK110&lt;&gt;"",LEFT(BK110,1)&lt;&gt;"#"),IF(LEFT(BK110,1)="-",REPLACE(BK110,1,1,tech!$H$2),BK110),"")</f>
        <v/>
      </c>
      <c r="BP110" t="s">
        <v>495</v>
      </c>
      <c r="BQ110" s="492" t="s">
        <v>1160</v>
      </c>
      <c r="BR110" t="str">
        <f t="shared" si="120"/>
        <v>Monitoring of operational and security events is implemented</v>
      </c>
      <c r="BS110" t="str">
        <f t="shared" si="168"/>
        <v>References</v>
      </c>
      <c r="BT110" t="str">
        <f t="shared" si="149"/>
        <v>3.3.4.RX</v>
      </c>
      <c r="BU110" t="str">
        <f>IF(AND(BQ110&lt;&gt;"",LEFT(BQ110,1)&lt;&gt;"#"),IF(LEFT(BQ110,1)="-",REPLACE(BQ110,1,1,tech!$H$2),BQ110),"")</f>
        <v/>
      </c>
      <c r="BV110" t="s">
        <v>495</v>
      </c>
      <c r="BW110" s="492"/>
      <c r="BX110" t="str">
        <f t="shared" si="121"/>
        <v>Incidents and exceptions handling</v>
      </c>
      <c r="BY110" t="str">
        <f t="shared" si="169"/>
        <v>References</v>
      </c>
      <c r="BZ110" t="str">
        <f t="shared" si="151"/>
        <v>3.4.3.RX</v>
      </c>
      <c r="CA110" t="str">
        <f>IF(AND(BW110&lt;&gt;"",LEFT(BW110,1)&lt;&gt;"#"),IF(LEFT(BW110,1)="-",REPLACE(BW110,1,1,tech!$H$2),BW110),"")</f>
        <v/>
      </c>
      <c r="CB110" t="s">
        <v>495</v>
      </c>
      <c r="CC110" s="492"/>
      <c r="CD110" t="str">
        <f t="shared" si="122"/>
        <v>Resources are periodically reviewed</v>
      </c>
      <c r="CE110" t="str">
        <f t="shared" si="170"/>
        <v>References</v>
      </c>
      <c r="CF110" t="str">
        <f t="shared" si="153"/>
        <v>4.1.4.RX</v>
      </c>
      <c r="CG110" t="str">
        <f>IF(AND(CC110&lt;&gt;"",LEFT(CC110,1)&lt;&gt;"#"),IF(LEFT(CC110,1)="-",REPLACE(CC110,1,1,tech!$H$2),CC110),"")</f>
        <v/>
      </c>
      <c r="CH110" t="s">
        <v>495</v>
      </c>
      <c r="CI110" s="492"/>
      <c r="CJ110" t="str">
        <f t="shared" si="123"/>
        <v>Perform security awareness training</v>
      </c>
      <c r="CK110" t="str">
        <f t="shared" si="171"/>
        <v>References</v>
      </c>
      <c r="CL110" t="str">
        <f t="shared" si="155"/>
        <v>4.2.3.RX</v>
      </c>
      <c r="CM110" t="str">
        <f>IF(AND(CI110&lt;&gt;"",LEFT(CI110,1)&lt;&gt;"#"),IF(LEFT(CI110,1)="-",REPLACE(CI110,1,1,tech!$H$2),CI110),"")</f>
        <v/>
      </c>
      <c r="CN110" t="s">
        <v>495</v>
      </c>
      <c r="CO110" s="492" t="s">
        <v>1399</v>
      </c>
      <c r="CP110" t="str">
        <f t="shared" si="124"/>
        <v>Timely communication of important information</v>
      </c>
      <c r="CQ110" t="str">
        <f t="shared" si="172"/>
        <v>Guidance</v>
      </c>
      <c r="CR110" t="str">
        <f t="shared" si="157"/>
        <v>4.3.4.GY</v>
      </c>
      <c r="CS110" t="str">
        <f>IF(AND(CO110&lt;&gt;"",LEFT(CO110,1)&lt;&gt;"#"),IF(LEFT(CO110,1)="-",REPLACE(CO110,1,1,tech!$H$2),CO110),"")</f>
        <v>• Security breach</v>
      </c>
      <c r="CT110" t="s">
        <v>495</v>
      </c>
    </row>
    <row r="111" spans="3:98" x14ac:dyDescent="0.25">
      <c r="C111" s="492"/>
      <c r="D111" t="str">
        <f t="shared" si="173"/>
        <v>Optimized</v>
      </c>
      <c r="E111" t="str">
        <f t="shared" si="174"/>
        <v>Associated risks</v>
      </c>
      <c r="F111" t="str">
        <f>_xlfn.CONCAT(VLOOKUP(D111,tech!$A$13:$B$17,2,0),LEFT(E111,1),IF(G111="","X","Y"))</f>
        <v>5AX</v>
      </c>
      <c r="G111" t="str">
        <f>IF(IF(LEFT(C111,1)="-",C111,"")="","",REPLACE(IF(LEFT(C111,1)="-",C111,""),1,1,tech!$H$2))</f>
        <v/>
      </c>
      <c r="H111" t="s">
        <v>495</v>
      </c>
      <c r="I111" s="492"/>
      <c r="J111" t="str">
        <f t="shared" si="127"/>
        <v>Architecture and design of the PKI</v>
      </c>
      <c r="K111" t="str">
        <f t="shared" si="158"/>
        <v>References</v>
      </c>
      <c r="L111" t="str">
        <f t="shared" si="129"/>
        <v>1.1.4.RX</v>
      </c>
      <c r="M111" t="str">
        <f>IF(AND(I111&lt;&gt;"",LEFT(I111,1)&lt;&gt;"#"),IF(LEFT(I111,1)="-",REPLACE(I111,1,1,tech!$H$2),I111),"")</f>
        <v/>
      </c>
      <c r="N111" t="s">
        <v>495</v>
      </c>
      <c r="O111" s="492" t="s">
        <v>585</v>
      </c>
      <c r="P111" t="str">
        <f t="shared" si="111"/>
        <v>Disclosure statement is documented and published</v>
      </c>
      <c r="Q111" t="str">
        <f t="shared" si="159"/>
        <v>Guidance</v>
      </c>
      <c r="R111" t="str">
        <f t="shared" si="131"/>
        <v>1.2.4.GY</v>
      </c>
      <c r="S111" t="str">
        <f>IF(AND(O111&lt;&gt;"",LEFT(O111,1)&lt;&gt;"#"),IF(LEFT(O111,1)="-",REPLACE(O111,1,1,tech!$H$2),O111),"")</f>
        <v>• Reliance limits</v>
      </c>
      <c r="T111" t="s">
        <v>495</v>
      </c>
      <c r="U111" s="492" t="s">
        <v>626</v>
      </c>
      <c r="V111" t="str">
        <f t="shared" si="112"/>
        <v>List of relevant laws, regulations, and standards, exist and is maintained</v>
      </c>
      <c r="W111" t="str">
        <f t="shared" si="160"/>
        <v>References</v>
      </c>
      <c r="X111" t="str">
        <f t="shared" si="133"/>
        <v>1.3.4.RY</v>
      </c>
      <c r="Y111" t="str">
        <f>IF(AND(U111&lt;&gt;"",LEFT(U111,1)&lt;&gt;"#"),IF(LEFT(U111,1)="-",REPLACE(U111,1,1,tech!$H$2),U111),"")</f>
        <v>• [NIST Risk Management Framework](https://csrc.nist.gov/Projects/risk-management)</v>
      </c>
      <c r="Z111" t="s">
        <v>495</v>
      </c>
      <c r="AA111" s="492"/>
      <c r="AB111" t="str">
        <f t="shared" si="113"/>
        <v>Processes and procedures are reviewed and updated</v>
      </c>
      <c r="AC111" t="str">
        <f t="shared" si="161"/>
        <v>Guidance</v>
      </c>
      <c r="AD111" t="str">
        <f t="shared" si="135"/>
        <v>1.4.5.GY</v>
      </c>
      <c r="AE111" t="str">
        <f>IF(AND(AA111&lt;&gt;"",LEFT(AA111,1)&lt;&gt;"#"),IF(LEFT(AA111,1)="-",REPLACE(AA111,1,1,tech!$H$2),AA111),"")</f>
        <v/>
      </c>
      <c r="AF111" t="s">
        <v>495</v>
      </c>
      <c r="AG111" s="492" t="s">
        <v>759</v>
      </c>
      <c r="AH111" t="str">
        <f t="shared" si="114"/>
        <v>Each cryptographic key is defined and has documented lifecycle procedures</v>
      </c>
      <c r="AI111" t="str">
        <f t="shared" si="162"/>
        <v>Assessment</v>
      </c>
      <c r="AJ111" t="str">
        <f t="shared" si="137"/>
        <v>2.1.4.AY</v>
      </c>
      <c r="AK111" t="str">
        <f>IF(AND(AG111&lt;&gt;"",LEFT(AG111,1)&lt;&gt;"#"),IF(LEFT(AG111,1)="-",REPLACE(AG111,1,1,tech!$H$2),AG111),"")</f>
        <v>• Examine the definition of cryptographic key</v>
      </c>
      <c r="AL111" t="s">
        <v>495</v>
      </c>
      <c r="AM111" s="492" t="s">
        <v>842</v>
      </c>
      <c r="AN111" t="str">
        <f t="shared" si="115"/>
        <v>Certificate lifecycle management is documented</v>
      </c>
      <c r="AO111" t="str">
        <f t="shared" si="163"/>
        <v>Assessment</v>
      </c>
      <c r="AP111" t="str">
        <f t="shared" si="139"/>
        <v>2.2.3.AY</v>
      </c>
      <c r="AQ111" t="str">
        <f>IF(AND(AM111&lt;&gt;"",LEFT(AM111,1)&lt;&gt;"#"),IF(LEFT(AM111,1)="-",REPLACE(AM111,1,1,tech!$H$2),AM111),"")</f>
        <v xml:space="preserve">  * Distribution of new and updated trust anchors (Root CA certificates)</v>
      </c>
      <c r="AR111" t="s">
        <v>495</v>
      </c>
      <c r="AS111" s="492" t="s">
        <v>501</v>
      </c>
      <c r="AT111" t="str">
        <f t="shared" si="116"/>
        <v>Infrastructure recovery objectives controls</v>
      </c>
      <c r="AU111" t="str">
        <f t="shared" si="164"/>
        <v>Assessment</v>
      </c>
      <c r="AV111" t="str">
        <f t="shared" si="141"/>
        <v>2.3.4.AX</v>
      </c>
      <c r="AW111" t="str">
        <f>IF(AND(AS111&lt;&gt;"",LEFT(AS111,1)&lt;&gt;"#"),IF(LEFT(AS111,1)="-",REPLACE(AS111,1,1,tech!$H$2),AS111),"")</f>
        <v/>
      </c>
      <c r="AX111" t="s">
        <v>495</v>
      </c>
      <c r="AY111" s="492"/>
      <c r="AZ111" t="str">
        <f t="shared" si="117"/>
        <v>Requirements for agility are identified</v>
      </c>
      <c r="BA111" t="str">
        <f t="shared" si="165"/>
        <v>Guidance</v>
      </c>
      <c r="BB111" t="str">
        <f t="shared" si="143"/>
        <v>2.4.4.GY</v>
      </c>
      <c r="BC111" t="str">
        <f>IF(AND(AY111&lt;&gt;"",LEFT(AY111,1)&lt;&gt;"#"),IF(LEFT(AY111,1)="-",REPLACE(AY111,1,1,tech!$H$2),AY111),"")</f>
        <v/>
      </c>
      <c r="BD111" t="s">
        <v>495</v>
      </c>
      <c r="BE111" s="492" t="s">
        <v>1074</v>
      </c>
      <c r="BF111" t="str">
        <f t="shared" si="118"/>
        <v>Technology future proofing</v>
      </c>
      <c r="BG111" t="str">
        <f t="shared" si="166"/>
        <v>Guidance</v>
      </c>
      <c r="BH111" t="str">
        <f t="shared" si="145"/>
        <v>3.1.4.GY</v>
      </c>
      <c r="BI111" t="str">
        <f>IF(AND(BE111&lt;&gt;"",LEFT(BE111,1)&lt;&gt;"#"),IF(LEFT(BE111,1)="-",REPLACE(BE111,1,1,tech!$H$2),BE111),"")</f>
        <v>• Applicability of the Technology for long-term use</v>
      </c>
      <c r="BJ111" t="s">
        <v>495</v>
      </c>
      <c r="BK111" s="492"/>
      <c r="BL111" t="str">
        <f t="shared" si="119"/>
        <v>Adoption and application of open standards</v>
      </c>
      <c r="BM111" t="str">
        <f t="shared" si="167"/>
        <v>References</v>
      </c>
      <c r="BN111" t="str">
        <f t="shared" si="147"/>
        <v>3.2.3.RX</v>
      </c>
      <c r="BO111" t="str">
        <f>IF(AND(BK111&lt;&gt;"",LEFT(BK111,1)&lt;&gt;"#"),IF(LEFT(BK111,1)="-",REPLACE(BK111,1,1,tech!$H$2),BK111),"")</f>
        <v/>
      </c>
      <c r="BP111" t="s">
        <v>495</v>
      </c>
      <c r="BQ111" s="492"/>
      <c r="BR111" t="str">
        <f t="shared" si="120"/>
        <v>Monitoring of operational and security events is implemented</v>
      </c>
      <c r="BS111" t="str">
        <f t="shared" si="168"/>
        <v>References</v>
      </c>
      <c r="BT111" t="str">
        <f t="shared" si="149"/>
        <v>3.3.4.RX</v>
      </c>
      <c r="BU111" t="str">
        <f>IF(AND(BQ111&lt;&gt;"",LEFT(BQ111,1)&lt;&gt;"#"),IF(LEFT(BQ111,1)="-",REPLACE(BQ111,1,1,tech!$H$2),BQ111),"")</f>
        <v/>
      </c>
      <c r="BV111" t="s">
        <v>495</v>
      </c>
      <c r="BW111" s="492"/>
      <c r="BX111" t="str">
        <f t="shared" si="121"/>
        <v>Incidents and exceptions handling</v>
      </c>
      <c r="BY111" t="str">
        <f t="shared" si="169"/>
        <v>References</v>
      </c>
      <c r="BZ111" t="str">
        <f t="shared" si="151"/>
        <v>3.4.3.RX</v>
      </c>
      <c r="CA111" t="str">
        <f>IF(AND(BW111&lt;&gt;"",LEFT(BW111,1)&lt;&gt;"#"),IF(LEFT(BW111,1)="-",REPLACE(BW111,1,1,tech!$H$2),BW111),"")</f>
        <v/>
      </c>
      <c r="CB111" t="s">
        <v>495</v>
      </c>
      <c r="CC111" s="492"/>
      <c r="CD111" t="str">
        <f t="shared" si="122"/>
        <v>Resources are periodically reviewed</v>
      </c>
      <c r="CE111" t="str">
        <f t="shared" si="170"/>
        <v>References</v>
      </c>
      <c r="CF111" t="str">
        <f t="shared" si="153"/>
        <v>4.1.4.RX</v>
      </c>
      <c r="CG111" t="str">
        <f>IF(AND(CC111&lt;&gt;"",LEFT(CC111,1)&lt;&gt;"#"),IF(LEFT(CC111,1)="-",REPLACE(CC111,1,1,tech!$H$2),CC111),"")</f>
        <v/>
      </c>
      <c r="CH111" t="s">
        <v>495</v>
      </c>
      <c r="CI111" s="492" t="s">
        <v>1310</v>
      </c>
      <c r="CJ111" t="str">
        <f t="shared" si="123"/>
        <v>Establish education plan</v>
      </c>
      <c r="CK111" t="str">
        <f t="shared" si="171"/>
        <v>References</v>
      </c>
      <c r="CL111" t="str">
        <f t="shared" si="155"/>
        <v>4.2.4.RX</v>
      </c>
      <c r="CM111" t="str">
        <f>IF(AND(CI111&lt;&gt;"",LEFT(CI111,1)&lt;&gt;"#"),IF(LEFT(CI111,1)="-",REPLACE(CI111,1,1,tech!$H$2),CI111),"")</f>
        <v/>
      </c>
      <c r="CN111" t="s">
        <v>495</v>
      </c>
      <c r="CO111" s="492" t="s">
        <v>1490</v>
      </c>
      <c r="CP111" t="str">
        <f t="shared" si="124"/>
        <v>Timely communication of important information</v>
      </c>
      <c r="CQ111" t="str">
        <f t="shared" si="172"/>
        <v>Guidance</v>
      </c>
      <c r="CR111" t="str">
        <f t="shared" si="157"/>
        <v>4.3.4.GY</v>
      </c>
      <c r="CS111" t="str">
        <f>IF(AND(CO111&lt;&gt;"",LEFT(CO111,1)&lt;&gt;"#"),IF(LEFT(CO111,1)="-",REPLACE(CO111,1,1,tech!$H$2),CO111),"")</f>
        <v>• Other events that may require immediate action by the PKI participants</v>
      </c>
      <c r="CT111" t="s">
        <v>495</v>
      </c>
    </row>
    <row r="112" spans="3:98" x14ac:dyDescent="0.25">
      <c r="C112" s="492"/>
      <c r="D112" t="str">
        <f t="shared" si="173"/>
        <v>Optimized</v>
      </c>
      <c r="E112" t="str">
        <f t="shared" si="174"/>
        <v>Associated risks</v>
      </c>
      <c r="F112" t="str">
        <f>_xlfn.CONCAT(VLOOKUP(D112,tech!$A$13:$B$17,2,0),LEFT(E112,1),IF(G112="","X","Y"))</f>
        <v>5AX</v>
      </c>
      <c r="G112" t="str">
        <f>IF(IF(LEFT(C112,1)="-",C112,"")="","",REPLACE(IF(LEFT(C112,1)="-",C112,""),1,1,tech!$H$2))</f>
        <v/>
      </c>
      <c r="H112" t="s">
        <v>495</v>
      </c>
      <c r="I112" s="492"/>
      <c r="J112" t="str">
        <f>IF(AND(LEFT(I112,1)="#",IFERROR(LEN(_xlfn.TEXTBEFORE(I112," "))=3,0)),_xlfn.TEXTAFTER(I112," "),J111)</f>
        <v>Architecture and design of the PKI</v>
      </c>
      <c r="K112" t="str">
        <f t="shared" si="158"/>
        <v>References</v>
      </c>
      <c r="L112" t="str">
        <f t="shared" si="129"/>
        <v>1.1.4.RX</v>
      </c>
      <c r="M112" t="str">
        <f>IF(AND(I112&lt;&gt;"",LEFT(I112,1)&lt;&gt;"#"),IF(LEFT(I112,1)="-",REPLACE(I112,1,1,tech!$H$2),I112),"")</f>
        <v/>
      </c>
      <c r="N112" t="s">
        <v>495</v>
      </c>
      <c r="O112" s="492" t="s">
        <v>586</v>
      </c>
      <c r="P112" t="str">
        <f>IF(AND(LEFT(O112,1)="#",IFERROR(LEN(_xlfn.TEXTBEFORE(O112," "))=3,0)),_xlfn.TEXTAFTER(O112," "),P111)</f>
        <v>Disclosure statement is documented and published</v>
      </c>
      <c r="Q112" t="str">
        <f t="shared" si="159"/>
        <v>Guidance</v>
      </c>
      <c r="R112" t="str">
        <f t="shared" si="131"/>
        <v>1.2.4.GY</v>
      </c>
      <c r="S112" t="str">
        <f>IF(AND(O112&lt;&gt;"",LEFT(O112,1)&lt;&gt;"#"),IF(LEFT(O112,1)="-",REPLACE(O112,1,1,tech!$H$2),O112),"")</f>
        <v>• Obligations of the CA and the relying parties</v>
      </c>
      <c r="T112" t="s">
        <v>495</v>
      </c>
      <c r="U112" s="492"/>
      <c r="V112" t="str">
        <f>IF(AND(LEFT(U112,1)="#",IFERROR(LEN(_xlfn.TEXTBEFORE(U112," "))=3,0)),_xlfn.TEXTAFTER(U112," "),V111)</f>
        <v>List of relevant laws, regulations, and standards, exist and is maintained</v>
      </c>
      <c r="W112" t="str">
        <f t="shared" si="160"/>
        <v>References</v>
      </c>
      <c r="X112" t="str">
        <f t="shared" si="133"/>
        <v>1.3.4.RX</v>
      </c>
      <c r="Y112" t="str">
        <f>IF(AND(U112&lt;&gt;"",LEFT(U112,1)&lt;&gt;"#"),IF(LEFT(U112,1)="-",REPLACE(U112,1,1,tech!$H$2),U112),"")</f>
        <v/>
      </c>
      <c r="Z112" t="s">
        <v>495</v>
      </c>
      <c r="AA112" s="492" t="s">
        <v>679</v>
      </c>
      <c r="AB112" t="str">
        <f>IF(AND(LEFT(AA112,1)="#",IFERROR(LEN(_xlfn.TEXTBEFORE(AA112," "))=3,0)),_xlfn.TEXTAFTER(AA112," "),AB111)</f>
        <v>Processes and procedures are reviewed and updated</v>
      </c>
      <c r="AC112" t="str">
        <f t="shared" si="161"/>
        <v>Guidance</v>
      </c>
      <c r="AD112" t="str">
        <f t="shared" si="135"/>
        <v>1.4.5.GY</v>
      </c>
      <c r="AE112" t="str">
        <f>IF(AND(AA112&lt;&gt;"",LEFT(AA112,1)&lt;&gt;"#"),IF(LEFT(AA112,1)="-",REPLACE(AA112,1,1,tech!$H$2),AA112),"")</f>
        <v>The review and update of the processes and procedures helps to keep the PKI implementation up to date, and helps to ensure that the processes and procedures are effective and efficient.</v>
      </c>
      <c r="AF112" t="s">
        <v>495</v>
      </c>
      <c r="AG112" s="492" t="s">
        <v>760</v>
      </c>
      <c r="AH112" t="str">
        <f>IF(AND(LEFT(AG112,1)="#",IFERROR(LEN(_xlfn.TEXTBEFORE(AG112," "))=3,0)),_xlfn.TEXTAFTER(AG112," "),AH111)</f>
        <v>Each cryptographic key is defined and has documented lifecycle procedures</v>
      </c>
      <c r="AI112" t="str">
        <f t="shared" si="162"/>
        <v>Assessment</v>
      </c>
      <c r="AJ112" t="str">
        <f t="shared" si="137"/>
        <v>2.1.4.AY</v>
      </c>
      <c r="AK112" t="str">
        <f>IF(AND(AG112&lt;&gt;"",LEFT(AG112,1)&lt;&gt;"#"),IF(LEFT(AG112,1)="-",REPLACE(AG112,1,1,tech!$H$2),AG112),"")</f>
        <v>• Documented key lifecycle phases</v>
      </c>
      <c r="AL112" t="s">
        <v>495</v>
      </c>
      <c r="AM112" s="492"/>
      <c r="AN112" t="str">
        <f>IF(AND(LEFT(AM112,1)="#",IFERROR(LEN(_xlfn.TEXTBEFORE(AM112," "))=3,0)),_xlfn.TEXTAFTER(AM112," "),AN111)</f>
        <v>Certificate lifecycle management is documented</v>
      </c>
      <c r="AO112" t="str">
        <f t="shared" si="163"/>
        <v>Assessment</v>
      </c>
      <c r="AP112" t="str">
        <f t="shared" si="139"/>
        <v>2.2.3.AX</v>
      </c>
      <c r="AQ112" t="str">
        <f>IF(AND(AM112&lt;&gt;"",LEFT(AM112,1)&lt;&gt;"#"),IF(LEFT(AM112,1)="-",REPLACE(AM112,1,1,tech!$H$2),AM112),"")</f>
        <v/>
      </c>
      <c r="AR112" t="s">
        <v>495</v>
      </c>
      <c r="AS112" s="492"/>
      <c r="AT112" t="str">
        <f>IF(AND(LEFT(AS112,1)="#",IFERROR(LEN(_xlfn.TEXTBEFORE(AS112," "))=3,0)),_xlfn.TEXTAFTER(AS112," "),AT111)</f>
        <v>Infrastructure recovery objectives controls</v>
      </c>
      <c r="AU112" t="str">
        <f t="shared" si="164"/>
        <v>Assessment</v>
      </c>
      <c r="AV112" t="str">
        <f t="shared" si="141"/>
        <v>2.3.4.AX</v>
      </c>
      <c r="AW112" t="str">
        <f>IF(AND(AS112&lt;&gt;"",LEFT(AS112,1)&lt;&gt;"#"),IF(LEFT(AS112,1)="-",REPLACE(AS112,1,1,tech!$H$2),AS112),"")</f>
        <v/>
      </c>
      <c r="AX112" t="s">
        <v>495</v>
      </c>
      <c r="AY112" s="492" t="s">
        <v>977</v>
      </c>
      <c r="AZ112" t="str">
        <f>IF(AND(LEFT(AY112,1)="#",IFERROR(LEN(_xlfn.TEXTBEFORE(AY112," "))=3,0)),_xlfn.TEXTAFTER(AY112," "),AZ111)</f>
        <v>Requirements for agility are identified</v>
      </c>
      <c r="BA112" t="str">
        <f t="shared" si="165"/>
        <v>Guidance</v>
      </c>
      <c r="BB112" t="str">
        <f t="shared" si="143"/>
        <v>2.4.4.GY</v>
      </c>
      <c r="BC112" t="str">
        <f>IF(AND(AY112&lt;&gt;"",LEFT(AY112,1)&lt;&gt;"#"),IF(LEFT(AY112,1)="-",REPLACE(AY112,1,1,tech!$H$2),AY112),"")</f>
        <v>Identification of requirements where agility is needed is important to ensure changes are implemented when needed.</v>
      </c>
      <c r="BD112" t="s">
        <v>495</v>
      </c>
      <c r="BE112" s="492" t="s">
        <v>1075</v>
      </c>
      <c r="BF112" t="str">
        <f>IF(AND(LEFT(BE112,1)="#",IFERROR(LEN(_xlfn.TEXTBEFORE(BE112," "))=3,0)),_xlfn.TEXTAFTER(BE112," "),BF111)</f>
        <v>Technology future proofing</v>
      </c>
      <c r="BG112" t="str">
        <f t="shared" si="166"/>
        <v>Guidance</v>
      </c>
      <c r="BH112" t="str">
        <f t="shared" si="145"/>
        <v>3.1.4.GY</v>
      </c>
      <c r="BI112" t="str">
        <f>IF(AND(BE112&lt;&gt;"",LEFT(BE112,1)&lt;&gt;"#"),IF(LEFT(BE112,1)="-",REPLACE(BE112,1,1,tech!$H$2),BE112),"")</f>
        <v>• vulnerabilities and Security reports of the Technology</v>
      </c>
      <c r="BJ112" t="s">
        <v>495</v>
      </c>
      <c r="BK112" s="492"/>
      <c r="BL112" t="str">
        <f>IF(AND(LEFT(BK112,1)="#",IFERROR(LEN(_xlfn.TEXTBEFORE(BK112," "))=3,0)),_xlfn.TEXTAFTER(BK112," "),BL111)</f>
        <v>Adoption and application of open standards</v>
      </c>
      <c r="BM112" t="str">
        <f t="shared" si="167"/>
        <v>References</v>
      </c>
      <c r="BN112" t="str">
        <f t="shared" si="147"/>
        <v>3.2.3.RX</v>
      </c>
      <c r="BO112" t="str">
        <f>IF(AND(BK112&lt;&gt;"",LEFT(BK112,1)&lt;&gt;"#"),IF(LEFT(BK112,1)="-",REPLACE(BK112,1,1,tech!$H$2),BK112),"")</f>
        <v/>
      </c>
      <c r="BP112" t="s">
        <v>495</v>
      </c>
      <c r="BQ112" s="492" t="s">
        <v>498</v>
      </c>
      <c r="BR112" t="str">
        <f>IF(AND(LEFT(BQ112,1)="#",IFERROR(LEN(_xlfn.TEXTBEFORE(BQ112," "))=3,0)),_xlfn.TEXTAFTER(BQ112," "),BR111)</f>
        <v>Monitoring of operational and security events is implemented</v>
      </c>
      <c r="BS112" t="str">
        <f t="shared" si="168"/>
        <v>Guidance</v>
      </c>
      <c r="BT112" t="str">
        <f t="shared" si="149"/>
        <v>3.3.4.GX</v>
      </c>
      <c r="BU112" t="str">
        <f>IF(AND(BQ112&lt;&gt;"",LEFT(BQ112,1)&lt;&gt;"#"),IF(LEFT(BQ112,1)="-",REPLACE(BQ112,1,1,tech!$H$2),BQ112),"")</f>
        <v/>
      </c>
      <c r="BV112" t="s">
        <v>495</v>
      </c>
      <c r="BW112" s="492"/>
      <c r="BX112" t="str">
        <f>IF(AND(LEFT(BW112,1)="#",IFERROR(LEN(_xlfn.TEXTBEFORE(BW112," "))=3,0)),_xlfn.TEXTAFTER(BW112," "),BX111)</f>
        <v>Incidents and exceptions handling</v>
      </c>
      <c r="BY112" t="str">
        <f t="shared" si="169"/>
        <v>References</v>
      </c>
      <c r="BZ112" t="str">
        <f t="shared" si="151"/>
        <v>3.4.3.RX</v>
      </c>
      <c r="CA112" t="str">
        <f>IF(AND(BW112&lt;&gt;"",LEFT(BW112,1)&lt;&gt;"#"),IF(LEFT(BW112,1)="-",REPLACE(BW112,1,1,tech!$H$2),BW112),"")</f>
        <v/>
      </c>
      <c r="CB112" t="s">
        <v>495</v>
      </c>
      <c r="CC112" s="492"/>
      <c r="CD112" t="str">
        <f>IF(AND(LEFT(CC112,1)="#",IFERROR(LEN(_xlfn.TEXTBEFORE(CC112," "))=3,0)),_xlfn.TEXTAFTER(CC112," "),CD111)</f>
        <v>Resources are periodically reviewed</v>
      </c>
      <c r="CE112" t="str">
        <f t="shared" si="170"/>
        <v>References</v>
      </c>
      <c r="CF112" t="str">
        <f t="shared" si="153"/>
        <v>4.1.4.RX</v>
      </c>
      <c r="CG112" t="str">
        <f>IF(AND(CC112&lt;&gt;"",LEFT(CC112,1)&lt;&gt;"#"),IF(LEFT(CC112,1)="-",REPLACE(CC112,1,1,tech!$H$2),CC112),"")</f>
        <v/>
      </c>
      <c r="CH112" t="s">
        <v>495</v>
      </c>
      <c r="CI112" s="492"/>
      <c r="CJ112" t="str">
        <f>IF(AND(LEFT(CI112,1)="#",IFERROR(LEN(_xlfn.TEXTBEFORE(CI112," "))=3,0)),_xlfn.TEXTAFTER(CI112," "),CJ111)</f>
        <v>Establish education plan</v>
      </c>
      <c r="CK112" t="str">
        <f t="shared" si="171"/>
        <v>References</v>
      </c>
      <c r="CL112" t="str">
        <f t="shared" si="155"/>
        <v>4.2.4.RX</v>
      </c>
      <c r="CM112" t="str">
        <f>IF(AND(CI112&lt;&gt;"",LEFT(CI112,1)&lt;&gt;"#"),IF(LEFT(CI112,1)="-",REPLACE(CI112,1,1,tech!$H$2),CI112),"")</f>
        <v/>
      </c>
      <c r="CN112" t="s">
        <v>495</v>
      </c>
      <c r="CO112" s="492"/>
      <c r="CP112" t="str">
        <f>IF(AND(LEFT(CO112,1)="#",IFERROR(LEN(_xlfn.TEXTBEFORE(CO112," "))=3,0)),_xlfn.TEXTAFTER(CO112," "),CP111)</f>
        <v>Timely communication of important information</v>
      </c>
      <c r="CQ112" t="str">
        <f t="shared" si="172"/>
        <v>Guidance</v>
      </c>
      <c r="CR112" t="str">
        <f t="shared" si="157"/>
        <v>4.3.4.GX</v>
      </c>
      <c r="CS112" t="str">
        <f>IF(AND(CO112&lt;&gt;"",LEFT(CO112,1)&lt;&gt;"#"),IF(LEFT(CO112,1)="-",REPLACE(CO112,1,1,tech!$H$2),CO112),"")</f>
        <v/>
      </c>
      <c r="CT112" t="s">
        <v>495</v>
      </c>
    </row>
    <row r="113" spans="3:98" x14ac:dyDescent="0.25">
      <c r="C113" s="492"/>
      <c r="D113" t="str">
        <f t="shared" si="173"/>
        <v>Optimized</v>
      </c>
      <c r="E113" t="str">
        <f t="shared" si="174"/>
        <v>Associated risks</v>
      </c>
      <c r="F113" t="str">
        <f>_xlfn.CONCAT(VLOOKUP(D113,tech!$A$13:$B$17,2,0),LEFT(E113,1),IF(G113="","X","Y"))</f>
        <v>5AX</v>
      </c>
      <c r="G113" t="str">
        <f>IF(IF(LEFT(C113,1)="-",C113,"")="","",REPLACE(IF(LEFT(C113,1)="-",C113,""),1,1,tech!$H$2))</f>
        <v/>
      </c>
      <c r="H113" t="s">
        <v>495</v>
      </c>
      <c r="I113" s="492"/>
      <c r="J113" t="str">
        <f t="shared" ref="J113:J148" si="175">IF(AND(LEFT(I113,1)="#",IFERROR(LEN(_xlfn.TEXTBEFORE(I113," "))=3,0)),_xlfn.TEXTAFTER(I113," "),J112)</f>
        <v>Architecture and design of the PKI</v>
      </c>
      <c r="K113" t="str">
        <f t="shared" si="158"/>
        <v>References</v>
      </c>
      <c r="L113" t="str">
        <f t="shared" si="129"/>
        <v>1.1.4.RX</v>
      </c>
      <c r="M113" t="str">
        <f>IF(AND(I113&lt;&gt;"",LEFT(I113,1)&lt;&gt;"#"),IF(LEFT(I113,1)="-",REPLACE(I113,1,1,tech!$H$2),I113),"")</f>
        <v/>
      </c>
      <c r="N113" t="s">
        <v>495</v>
      </c>
      <c r="O113" s="492" t="s">
        <v>587</v>
      </c>
      <c r="P113" t="str">
        <f t="shared" ref="P113:P148" si="176">IF(AND(LEFT(O113,1)="#",IFERROR(LEN(_xlfn.TEXTBEFORE(O113," "))=3,0)),_xlfn.TEXTAFTER(O113," "),P112)</f>
        <v>Disclosure statement is documented and published</v>
      </c>
      <c r="Q113" t="str">
        <f t="shared" si="159"/>
        <v>Guidance</v>
      </c>
      <c r="R113" t="str">
        <f t="shared" si="131"/>
        <v>1.2.4.GY</v>
      </c>
      <c r="S113" t="str">
        <f>IF(AND(O113&lt;&gt;"",LEFT(O113,1)&lt;&gt;"#"),IF(LEFT(O113,1)="-",REPLACE(O113,1,1,tech!$H$2),O113),"")</f>
        <v>• Warranty and liability limitations</v>
      </c>
      <c r="T113" t="s">
        <v>495</v>
      </c>
      <c r="U113" s="492"/>
      <c r="V113" t="str">
        <f t="shared" ref="V113:V148" si="177">IF(AND(LEFT(U113,1)="#",IFERROR(LEN(_xlfn.TEXTBEFORE(U113," "))=3,0)),_xlfn.TEXTAFTER(U113," "),V112)</f>
        <v>List of relevant laws, regulations, and standards, exist and is maintained</v>
      </c>
      <c r="W113" t="str">
        <f t="shared" si="160"/>
        <v>References</v>
      </c>
      <c r="X113" t="str">
        <f t="shared" si="133"/>
        <v>1.3.4.RX</v>
      </c>
      <c r="Y113" t="str">
        <f>IF(AND(U113&lt;&gt;"",LEFT(U113,1)&lt;&gt;"#"),IF(LEFT(U113,1)="-",REPLACE(U113,1,1,tech!$H$2),U113),"")</f>
        <v/>
      </c>
      <c r="Z113" t="s">
        <v>495</v>
      </c>
      <c r="AA113" s="492"/>
      <c r="AB113" t="str">
        <f t="shared" ref="AB113:AB148" si="178">IF(AND(LEFT(AA113,1)="#",IFERROR(LEN(_xlfn.TEXTBEFORE(AA113," "))=3,0)),_xlfn.TEXTAFTER(AA113," "),AB112)</f>
        <v>Processes and procedures are reviewed and updated</v>
      </c>
      <c r="AC113" t="str">
        <f t="shared" si="161"/>
        <v>Guidance</v>
      </c>
      <c r="AD113" t="str">
        <f t="shared" si="135"/>
        <v>1.4.5.GX</v>
      </c>
      <c r="AE113" t="str">
        <f>IF(AND(AA113&lt;&gt;"",LEFT(AA113,1)&lt;&gt;"#"),IF(LEFT(AA113,1)="-",REPLACE(AA113,1,1,tech!$H$2),AA113),"")</f>
        <v/>
      </c>
      <c r="AF113" t="s">
        <v>495</v>
      </c>
      <c r="AG113" s="492" t="s">
        <v>761</v>
      </c>
      <c r="AH113" t="str">
        <f t="shared" ref="AH113:AH148" si="179">IF(AND(LEFT(AG113,1)="#",IFERROR(LEN(_xlfn.TEXTBEFORE(AG113," "))=3,0)),_xlfn.TEXTAFTER(AG113," "),AH112)</f>
        <v>Each cryptographic key is defined and has documented lifecycle procedures</v>
      </c>
      <c r="AI113" t="str">
        <f t="shared" si="162"/>
        <v>Assessment</v>
      </c>
      <c r="AJ113" t="str">
        <f t="shared" si="137"/>
        <v>2.1.4.AY</v>
      </c>
      <c r="AK113" t="str">
        <f>IF(AND(AG113&lt;&gt;"",LEFT(AG113,1)&lt;&gt;"#"),IF(LEFT(AG113,1)="-",REPLACE(AG113,1,1,tech!$H$2),AG113),"")</f>
        <v>• Documented procedures and related records for the key lifecycle</v>
      </c>
      <c r="AL113" t="s">
        <v>495</v>
      </c>
      <c r="AM113" s="492" t="s">
        <v>503</v>
      </c>
      <c r="AN113" t="str">
        <f t="shared" ref="AN113:AN176" si="180">IF(AND(LEFT(AM113,1)="#",IFERROR(LEN(_xlfn.TEXTBEFORE(AM113," "))=3,0)),_xlfn.TEXTAFTER(AM113," "),AN112)</f>
        <v>Certificate lifecycle management is documented</v>
      </c>
      <c r="AO113" t="str">
        <f t="shared" si="163"/>
        <v>References</v>
      </c>
      <c r="AP113" t="str">
        <f t="shared" si="139"/>
        <v>2.2.3.RX</v>
      </c>
      <c r="AQ113" t="str">
        <f>IF(AND(AM113&lt;&gt;"",LEFT(AM113,1)&lt;&gt;"#"),IF(LEFT(AM113,1)="-",REPLACE(AM113,1,1,tech!$H$2),AM113),"")</f>
        <v/>
      </c>
      <c r="AR113" t="s">
        <v>495</v>
      </c>
      <c r="AS113" s="492" t="s">
        <v>502</v>
      </c>
      <c r="AT113" t="str">
        <f t="shared" ref="AT113:AT176" si="181">IF(AND(LEFT(AS113,1)="#",IFERROR(LEN(_xlfn.TEXTBEFORE(AS113," "))=3,0)),_xlfn.TEXTAFTER(AS113," "),AT112)</f>
        <v>Infrastructure recovery objectives controls</v>
      </c>
      <c r="AU113" t="str">
        <f t="shared" si="164"/>
        <v>Assessment</v>
      </c>
      <c r="AV113" t="str">
        <f t="shared" si="141"/>
        <v>2.3.4.AY</v>
      </c>
      <c r="AW113" t="str">
        <f>IF(AND(AS113&lt;&gt;"",LEFT(AS113,1)&lt;&gt;"#"),IF(LEFT(AS113,1)="-",REPLACE(AS113,1,1,tech!$H$2),AS113),"")</f>
        <v>The following is sample evidence that can be used to assess the requirement:</v>
      </c>
      <c r="AX113" t="s">
        <v>495</v>
      </c>
      <c r="AY113" s="492"/>
      <c r="AZ113" t="str">
        <f t="shared" ref="AZ113:AZ176" si="182">IF(AND(LEFT(AY113,1)="#",IFERROR(LEN(_xlfn.TEXTBEFORE(AY113," "))=3,0)),_xlfn.TEXTAFTER(AY113," "),AZ112)</f>
        <v>Requirements for agility are identified</v>
      </c>
      <c r="BA113" t="str">
        <f t="shared" si="165"/>
        <v>Guidance</v>
      </c>
      <c r="BB113" t="str">
        <f t="shared" si="143"/>
        <v>2.4.4.GX</v>
      </c>
      <c r="BC113" t="str">
        <f>IF(AND(AY113&lt;&gt;"",LEFT(AY113,1)&lt;&gt;"#"),IF(LEFT(AY113,1)="-",REPLACE(AY113,1,1,tech!$H$2),AY113),"")</f>
        <v/>
      </c>
      <c r="BD113" t="s">
        <v>495</v>
      </c>
      <c r="BE113" s="492" t="s">
        <v>1076</v>
      </c>
      <c r="BF113" t="str">
        <f t="shared" ref="BF113:BF176" si="183">IF(AND(LEFT(BE113,1)="#",IFERROR(LEN(_xlfn.TEXTBEFORE(BE113," "))=3,0)),_xlfn.TEXTAFTER(BE113," "),BF112)</f>
        <v>Technology future proofing</v>
      </c>
      <c r="BG113" t="str">
        <f t="shared" si="166"/>
        <v>Guidance</v>
      </c>
      <c r="BH113" t="str">
        <f t="shared" si="145"/>
        <v>3.1.4.GY</v>
      </c>
      <c r="BI113" t="str">
        <f>IF(AND(BE113&lt;&gt;"",LEFT(BE113,1)&lt;&gt;"#"),IF(LEFT(BE113,1)="-",REPLACE(BE113,1,1,tech!$H$2),BE113),"")</f>
        <v>• Integration capabilities and customizations needed</v>
      </c>
      <c r="BJ113" t="s">
        <v>495</v>
      </c>
      <c r="BK113" s="492"/>
      <c r="BL113" t="str">
        <f t="shared" ref="BL113:BL176" si="184">IF(AND(LEFT(BK113,1)="#",IFERROR(LEN(_xlfn.TEXTBEFORE(BK113," "))=3,0)),_xlfn.TEXTAFTER(BK113," "),BL112)</f>
        <v>Adoption and application of open standards</v>
      </c>
      <c r="BM113" t="str">
        <f t="shared" si="167"/>
        <v>References</v>
      </c>
      <c r="BN113" t="str">
        <f t="shared" si="147"/>
        <v>3.2.3.RX</v>
      </c>
      <c r="BO113" t="str">
        <f>IF(AND(BK113&lt;&gt;"",LEFT(BK113,1)&lt;&gt;"#"),IF(LEFT(BK113,1)="-",REPLACE(BK113,1,1,tech!$H$2),BK113),"")</f>
        <v/>
      </c>
      <c r="BP113" t="s">
        <v>495</v>
      </c>
      <c r="BQ113" s="492"/>
      <c r="BR113" t="str">
        <f t="shared" ref="BR113:BR176" si="185">IF(AND(LEFT(BQ113,1)="#",IFERROR(LEN(_xlfn.TEXTBEFORE(BQ113," "))=3,0)),_xlfn.TEXTAFTER(BQ113," "),BR112)</f>
        <v>Monitoring of operational and security events is implemented</v>
      </c>
      <c r="BS113" t="str">
        <f t="shared" si="168"/>
        <v>Guidance</v>
      </c>
      <c r="BT113" t="str">
        <f t="shared" si="149"/>
        <v>3.3.4.GX</v>
      </c>
      <c r="BU113" t="str">
        <f>IF(AND(BQ113&lt;&gt;"",LEFT(BQ113,1)&lt;&gt;"#"),IF(LEFT(BQ113,1)="-",REPLACE(BQ113,1,1,tech!$H$2),BQ113),"")</f>
        <v/>
      </c>
      <c r="BV113" t="s">
        <v>495</v>
      </c>
      <c r="BW113" s="492"/>
      <c r="BX113" t="str">
        <f t="shared" ref="BX113:BX176" si="186">IF(AND(LEFT(BW113,1)="#",IFERROR(LEN(_xlfn.TEXTBEFORE(BW113," "))=3,0)),_xlfn.TEXTAFTER(BW113," "),BX112)</f>
        <v>Incidents and exceptions handling</v>
      </c>
      <c r="BY113" t="str">
        <f t="shared" si="169"/>
        <v>References</v>
      </c>
      <c r="BZ113" t="str">
        <f t="shared" si="151"/>
        <v>3.4.3.RX</v>
      </c>
      <c r="CA113" t="str">
        <f>IF(AND(BW113&lt;&gt;"",LEFT(BW113,1)&lt;&gt;"#"),IF(LEFT(BW113,1)="-",REPLACE(BW113,1,1,tech!$H$2),BW113),"")</f>
        <v/>
      </c>
      <c r="CB113" t="s">
        <v>495</v>
      </c>
      <c r="CC113" s="492"/>
      <c r="CD113" t="str">
        <f t="shared" ref="CD113:CD176" si="187">IF(AND(LEFT(CC113,1)="#",IFERROR(LEN(_xlfn.TEXTBEFORE(CC113," "))=3,0)),_xlfn.TEXTAFTER(CC113," "),CD112)</f>
        <v>Resources are periodically reviewed</v>
      </c>
      <c r="CE113" t="str">
        <f t="shared" si="170"/>
        <v>References</v>
      </c>
      <c r="CF113" t="str">
        <f t="shared" si="153"/>
        <v>4.1.4.RX</v>
      </c>
      <c r="CG113" t="str">
        <f>IF(AND(CC113&lt;&gt;"",LEFT(CC113,1)&lt;&gt;"#"),IF(LEFT(CC113,1)="-",REPLACE(CC113,1,1,tech!$H$2),CC113),"")</f>
        <v/>
      </c>
      <c r="CH113" t="s">
        <v>495</v>
      </c>
      <c r="CI113" s="492" t="s">
        <v>498</v>
      </c>
      <c r="CJ113" t="str">
        <f t="shared" ref="CJ113:CJ176" si="188">IF(AND(LEFT(CI113,1)="#",IFERROR(LEN(_xlfn.TEXTBEFORE(CI113," "))=3,0)),_xlfn.TEXTAFTER(CI113," "),CJ112)</f>
        <v>Establish education plan</v>
      </c>
      <c r="CK113" t="str">
        <f t="shared" si="171"/>
        <v>Guidance</v>
      </c>
      <c r="CL113" t="str">
        <f t="shared" si="155"/>
        <v>4.2.4.GX</v>
      </c>
      <c r="CM113" t="str">
        <f>IF(AND(CI113&lt;&gt;"",LEFT(CI113,1)&lt;&gt;"#"),IF(LEFT(CI113,1)="-",REPLACE(CI113,1,1,tech!$H$2),CI113),"")</f>
        <v/>
      </c>
      <c r="CN113" t="s">
        <v>495</v>
      </c>
      <c r="CO113" s="492" t="s">
        <v>501</v>
      </c>
      <c r="CP113" t="str">
        <f t="shared" ref="CP113:CP176" si="189">IF(AND(LEFT(CO113,1)="#",IFERROR(LEN(_xlfn.TEXTBEFORE(CO113," "))=3,0)),_xlfn.TEXTAFTER(CO113," "),CP112)</f>
        <v>Timely communication of important information</v>
      </c>
      <c r="CQ113" t="str">
        <f t="shared" si="172"/>
        <v>Assessment</v>
      </c>
      <c r="CR113" t="str">
        <f t="shared" si="157"/>
        <v>4.3.4.AX</v>
      </c>
      <c r="CS113" t="str">
        <f>IF(AND(CO113&lt;&gt;"",LEFT(CO113,1)&lt;&gt;"#"),IF(LEFT(CO113,1)="-",REPLACE(CO113,1,1,tech!$H$2),CO113),"")</f>
        <v/>
      </c>
      <c r="CT113" t="s">
        <v>495</v>
      </c>
    </row>
    <row r="114" spans="3:98" x14ac:dyDescent="0.25">
      <c r="C114" s="492"/>
      <c r="D114" t="str">
        <f t="shared" si="173"/>
        <v>Optimized</v>
      </c>
      <c r="E114" t="str">
        <f t="shared" si="174"/>
        <v>Associated risks</v>
      </c>
      <c r="F114" t="str">
        <f>_xlfn.CONCAT(VLOOKUP(D114,tech!$A$13:$B$17,2,0),LEFT(E114,1),IF(G114="","X","Y"))</f>
        <v>5AX</v>
      </c>
      <c r="G114" t="str">
        <f>IF(IF(LEFT(C114,1)="-",C114,"")="","",REPLACE(IF(LEFT(C114,1)="-",C114,""),1,1,tech!$H$2))</f>
        <v/>
      </c>
      <c r="H114" t="s">
        <v>495</v>
      </c>
      <c r="I114" s="492"/>
      <c r="J114" t="str">
        <f t="shared" si="175"/>
        <v>Architecture and design of the PKI</v>
      </c>
      <c r="K114" t="str">
        <f t="shared" si="158"/>
        <v>References</v>
      </c>
      <c r="L114" t="str">
        <f t="shared" si="129"/>
        <v>1.1.4.RX</v>
      </c>
      <c r="M114" t="str">
        <f>IF(AND(I114&lt;&gt;"",LEFT(I114,1)&lt;&gt;"#"),IF(LEFT(I114,1)="-",REPLACE(I114,1,1,tech!$H$2),I114),"")</f>
        <v/>
      </c>
      <c r="N114" t="s">
        <v>495</v>
      </c>
      <c r="O114" s="492" t="s">
        <v>567</v>
      </c>
      <c r="P114" t="str">
        <f t="shared" si="176"/>
        <v>Disclosure statement is documented and published</v>
      </c>
      <c r="Q114" t="str">
        <f t="shared" si="159"/>
        <v>Guidance</v>
      </c>
      <c r="R114" t="str">
        <f t="shared" si="131"/>
        <v>1.2.4.GY</v>
      </c>
      <c r="S114" t="str">
        <f>IF(AND(O114&lt;&gt;"",LEFT(O114,1)&lt;&gt;"#"),IF(LEFT(O114,1)="-",REPLACE(O114,1,1,tech!$H$2),O114),"")</f>
        <v>• Agreement, CP and CPS</v>
      </c>
      <c r="T114" t="s">
        <v>495</v>
      </c>
      <c r="U114" s="492"/>
      <c r="V114" t="str">
        <f t="shared" si="177"/>
        <v>List of relevant laws, regulations, and standards, exist and is maintained</v>
      </c>
      <c r="W114" t="str">
        <f t="shared" si="160"/>
        <v>References</v>
      </c>
      <c r="X114" t="str">
        <f t="shared" si="133"/>
        <v>1.3.4.RX</v>
      </c>
      <c r="Y114" t="str">
        <f>IF(AND(U114&lt;&gt;"",LEFT(U114,1)&lt;&gt;"#"),IF(LEFT(U114,1)="-",REPLACE(U114,1,1,tech!$H$2),U114),"")</f>
        <v/>
      </c>
      <c r="Z114" t="s">
        <v>495</v>
      </c>
      <c r="AA114" s="492" t="s">
        <v>501</v>
      </c>
      <c r="AB114" t="str">
        <f t="shared" si="178"/>
        <v>Processes and procedures are reviewed and updated</v>
      </c>
      <c r="AC114" t="str">
        <f t="shared" si="161"/>
        <v>Assessment</v>
      </c>
      <c r="AD114" t="str">
        <f t="shared" si="135"/>
        <v>1.4.5.AX</v>
      </c>
      <c r="AE114" t="str">
        <f>IF(AND(AA114&lt;&gt;"",LEFT(AA114,1)&lt;&gt;"#"),IF(LEFT(AA114,1)="-",REPLACE(AA114,1,1,tech!$H$2),AA114),"")</f>
        <v/>
      </c>
      <c r="AF114" t="s">
        <v>495</v>
      </c>
      <c r="AG114" s="492" t="s">
        <v>762</v>
      </c>
      <c r="AH114" t="str">
        <f t="shared" si="179"/>
        <v>Each cryptographic key is defined and has documented lifecycle procedures</v>
      </c>
      <c r="AI114" t="str">
        <f t="shared" si="162"/>
        <v>Assessment</v>
      </c>
      <c r="AJ114" t="str">
        <f t="shared" si="137"/>
        <v>2.1.4.AY</v>
      </c>
      <c r="AK114" t="str">
        <f>IF(AND(AG114&lt;&gt;"",LEFT(AG114,1)&lt;&gt;"#"),IF(LEFT(AG114,1)="-",REPLACE(AG114,1,1,tech!$H$2),AG114),"")</f>
        <v>• lifecycle is integrated and followed in the organization</v>
      </c>
      <c r="AL114" t="s">
        <v>495</v>
      </c>
      <c r="AM114" s="492"/>
      <c r="AN114" t="str">
        <f t="shared" si="180"/>
        <v>Certificate lifecycle management is documented</v>
      </c>
      <c r="AO114" t="str">
        <f t="shared" si="163"/>
        <v>References</v>
      </c>
      <c r="AP114" t="str">
        <f t="shared" si="139"/>
        <v>2.2.3.RX</v>
      </c>
      <c r="AQ114" t="str">
        <f>IF(AND(AM114&lt;&gt;"",LEFT(AM114,1)&lt;&gt;"#"),IF(LEFT(AM114,1)="-",REPLACE(AM114,1,1,tech!$H$2),AM114),"")</f>
        <v/>
      </c>
      <c r="AR114" t="s">
        <v>495</v>
      </c>
      <c r="AS114" s="492" t="s">
        <v>940</v>
      </c>
      <c r="AT114" t="str">
        <f t="shared" si="181"/>
        <v>Infrastructure recovery objectives controls</v>
      </c>
      <c r="AU114" t="str">
        <f t="shared" si="164"/>
        <v>Assessment</v>
      </c>
      <c r="AV114" t="str">
        <f t="shared" si="141"/>
        <v>2.3.4.AY</v>
      </c>
      <c r="AW114" t="str">
        <f>IF(AND(AS114&lt;&gt;"",LEFT(AS114,1)&lt;&gt;"#"),IF(LEFT(AS114,1)="-",REPLACE(AS114,1,1,tech!$H$2),AS114),"")</f>
        <v>• infrastructure recovery objectives</v>
      </c>
      <c r="AX114" t="s">
        <v>495</v>
      </c>
      <c r="AY114" s="492" t="s">
        <v>501</v>
      </c>
      <c r="AZ114" t="str">
        <f t="shared" si="182"/>
        <v>Requirements for agility are identified</v>
      </c>
      <c r="BA114" t="str">
        <f t="shared" si="165"/>
        <v>Assessment</v>
      </c>
      <c r="BB114" t="str">
        <f t="shared" si="143"/>
        <v>2.4.4.AX</v>
      </c>
      <c r="BC114" t="str">
        <f>IF(AND(AY114&lt;&gt;"",LEFT(AY114,1)&lt;&gt;"#"),IF(LEFT(AY114,1)="-",REPLACE(AY114,1,1,tech!$H$2),AY114),"")</f>
        <v/>
      </c>
      <c r="BD114" t="s">
        <v>495</v>
      </c>
      <c r="BE114" s="492" t="s">
        <v>1077</v>
      </c>
      <c r="BF114" t="str">
        <f t="shared" si="183"/>
        <v>Technology future proofing</v>
      </c>
      <c r="BG114" t="str">
        <f t="shared" si="166"/>
        <v>Guidance</v>
      </c>
      <c r="BH114" t="str">
        <f t="shared" si="145"/>
        <v>3.1.4.GY</v>
      </c>
      <c r="BI114" t="str">
        <f>IF(AND(BE114&lt;&gt;"",LEFT(BE114,1)&lt;&gt;"#"),IF(LEFT(BE114,1)="-",REPLACE(BE114,1,1,tech!$H$2),BE114),"")</f>
        <v>• open source vs. proprietary Technology</v>
      </c>
      <c r="BJ114" t="s">
        <v>495</v>
      </c>
      <c r="BK114" s="492"/>
      <c r="BL114" t="str">
        <f t="shared" si="184"/>
        <v>Adoption and application of open standards</v>
      </c>
      <c r="BM114" t="str">
        <f t="shared" si="167"/>
        <v>References</v>
      </c>
      <c r="BN114" t="str">
        <f t="shared" si="147"/>
        <v>3.2.3.RX</v>
      </c>
      <c r="BO114" t="str">
        <f>IF(AND(BK114&lt;&gt;"",LEFT(BK114,1)&lt;&gt;"#"),IF(LEFT(BK114,1)="-",REPLACE(BK114,1,1,tech!$H$2),BK114),"")</f>
        <v/>
      </c>
      <c r="BP114" t="s">
        <v>495</v>
      </c>
      <c r="BQ114" s="492" t="s">
        <v>1161</v>
      </c>
      <c r="BR114" t="str">
        <f t="shared" si="185"/>
        <v>Monitoring of operational and security events is implemented</v>
      </c>
      <c r="BS114" t="str">
        <f t="shared" si="168"/>
        <v>Guidance</v>
      </c>
      <c r="BT114" t="str">
        <f t="shared" si="149"/>
        <v>3.3.4.GY</v>
      </c>
      <c r="BU114" t="str">
        <f>IF(AND(BQ114&lt;&gt;"",LEFT(BQ114,1)&lt;&gt;"#"),IF(LEFT(BQ114,1)="-",REPLACE(BQ114,1,1,tech!$H$2),BQ114),"")</f>
        <v>Monitoring of operational and security events should be implemented to ensure that the PKI implementation is operating as expected and that the security events are detected and responded to in a timely manner and that evidence of any malicious event is identified. The monitoring should be implemented for all critical systems and components, including the CA, RA, OCSP, HSM, and other relevant systems.</v>
      </c>
      <c r="BV114" t="s">
        <v>495</v>
      </c>
      <c r="BW114" s="492"/>
      <c r="BX114" t="str">
        <f t="shared" si="186"/>
        <v>Incidents and exceptions handling</v>
      </c>
      <c r="BY114" t="str">
        <f t="shared" si="169"/>
        <v>References</v>
      </c>
      <c r="BZ114" t="str">
        <f t="shared" si="151"/>
        <v>3.4.3.RX</v>
      </c>
      <c r="CA114" t="str">
        <f>IF(AND(BW114&lt;&gt;"",LEFT(BW114,1)&lt;&gt;"#"),IF(LEFT(BW114,1)="-",REPLACE(BW114,1,1,tech!$H$2),BW114),"")</f>
        <v/>
      </c>
      <c r="CB114" t="s">
        <v>495</v>
      </c>
      <c r="CC114" s="492"/>
      <c r="CD114" t="str">
        <f t="shared" si="187"/>
        <v>Resources are periodically reviewed</v>
      </c>
      <c r="CE114" t="str">
        <f t="shared" si="170"/>
        <v>References</v>
      </c>
      <c r="CF114" t="str">
        <f t="shared" si="153"/>
        <v>4.1.4.RX</v>
      </c>
      <c r="CG114" t="str">
        <f>IF(AND(CC114&lt;&gt;"",LEFT(CC114,1)&lt;&gt;"#"),IF(LEFT(CC114,1)="-",REPLACE(CC114,1,1,tech!$H$2),CC114),"")</f>
        <v/>
      </c>
      <c r="CH114" t="s">
        <v>495</v>
      </c>
      <c r="CI114" s="492"/>
      <c r="CJ114" t="str">
        <f t="shared" si="188"/>
        <v>Establish education plan</v>
      </c>
      <c r="CK114" t="str">
        <f t="shared" si="171"/>
        <v>Guidance</v>
      </c>
      <c r="CL114" t="str">
        <f t="shared" si="155"/>
        <v>4.2.4.GX</v>
      </c>
      <c r="CM114" t="str">
        <f>IF(AND(CI114&lt;&gt;"",LEFT(CI114,1)&lt;&gt;"#"),IF(LEFT(CI114,1)="-",REPLACE(CI114,1,1,tech!$H$2),CI114),"")</f>
        <v/>
      </c>
      <c r="CN114" t="s">
        <v>495</v>
      </c>
      <c r="CO114" s="492"/>
      <c r="CP114" t="str">
        <f t="shared" si="189"/>
        <v>Timely communication of important information</v>
      </c>
      <c r="CQ114" t="str">
        <f t="shared" si="172"/>
        <v>Assessment</v>
      </c>
      <c r="CR114" t="str">
        <f t="shared" si="157"/>
        <v>4.3.4.AX</v>
      </c>
      <c r="CS114" t="str">
        <f>IF(AND(CO114&lt;&gt;"",LEFT(CO114,1)&lt;&gt;"#"),IF(LEFT(CO114,1)="-",REPLACE(CO114,1,1,tech!$H$2),CO114),"")</f>
        <v/>
      </c>
      <c r="CT114" t="s">
        <v>495</v>
      </c>
    </row>
    <row r="115" spans="3:98" x14ac:dyDescent="0.25">
      <c r="C115" s="492"/>
      <c r="D115" t="str">
        <f t="shared" si="173"/>
        <v>Optimized</v>
      </c>
      <c r="E115" t="str">
        <f t="shared" si="174"/>
        <v>Associated risks</v>
      </c>
      <c r="F115" t="str">
        <f>_xlfn.CONCAT(VLOOKUP(D115,tech!$A$13:$B$17,2,0),LEFT(E115,1),IF(G115="","X","Y"))</f>
        <v>5AX</v>
      </c>
      <c r="G115" t="str">
        <f>IF(IF(LEFT(C115,1)="-",C115,"")="","",REPLACE(IF(LEFT(C115,1)="-",C115,""),1,1,tech!$H$2))</f>
        <v/>
      </c>
      <c r="H115" t="s">
        <v>495</v>
      </c>
      <c r="I115" s="492"/>
      <c r="J115" t="str">
        <f t="shared" si="175"/>
        <v>Architecture and design of the PKI</v>
      </c>
      <c r="K115" t="str">
        <f t="shared" si="158"/>
        <v>References</v>
      </c>
      <c r="L115" t="str">
        <f t="shared" si="129"/>
        <v>1.1.4.RX</v>
      </c>
      <c r="M115" t="str">
        <f>IF(AND(I115&lt;&gt;"",LEFT(I115,1)&lt;&gt;"#"),IF(LEFT(I115,1)="-",REPLACE(I115,1,1,tech!$H$2),I115),"")</f>
        <v/>
      </c>
      <c r="N115" t="s">
        <v>495</v>
      </c>
      <c r="O115" s="492" t="s">
        <v>588</v>
      </c>
      <c r="P115" t="str">
        <f t="shared" si="176"/>
        <v>Disclosure statement is documented and published</v>
      </c>
      <c r="Q115" t="str">
        <f t="shared" si="159"/>
        <v>Guidance</v>
      </c>
      <c r="R115" t="str">
        <f t="shared" si="131"/>
        <v>1.2.4.GY</v>
      </c>
      <c r="S115" t="str">
        <f>IF(AND(O115&lt;&gt;"",LEFT(O115,1)&lt;&gt;"#"),IF(LEFT(O115,1)="-",REPLACE(O115,1,1,tech!$H$2),O115),"")</f>
        <v>• Privacy policy</v>
      </c>
      <c r="T115" t="s">
        <v>495</v>
      </c>
      <c r="U115" s="492"/>
      <c r="V115" t="str">
        <f t="shared" si="177"/>
        <v>List of relevant laws, regulations, and standards, exist and is maintained</v>
      </c>
      <c r="W115" t="str">
        <f t="shared" si="160"/>
        <v>References</v>
      </c>
      <c r="X115" t="str">
        <f t="shared" si="133"/>
        <v>1.3.4.RX</v>
      </c>
      <c r="Y115" t="str">
        <f>IF(AND(U115&lt;&gt;"",LEFT(U115,1)&lt;&gt;"#"),IF(LEFT(U115,1)="-",REPLACE(U115,1,1,tech!$H$2),U115),"")</f>
        <v/>
      </c>
      <c r="Z115" t="s">
        <v>495</v>
      </c>
      <c r="AA115" s="492"/>
      <c r="AB115" t="str">
        <f t="shared" si="178"/>
        <v>Processes and procedures are reviewed and updated</v>
      </c>
      <c r="AC115" t="str">
        <f t="shared" si="161"/>
        <v>Assessment</v>
      </c>
      <c r="AD115" t="str">
        <f t="shared" si="135"/>
        <v>1.4.5.AX</v>
      </c>
      <c r="AE115" t="str">
        <f>IF(AND(AA115&lt;&gt;"",LEFT(AA115,1)&lt;&gt;"#"),IF(LEFT(AA115,1)="-",REPLACE(AA115,1,1,tech!$H$2),AA115),"")</f>
        <v/>
      </c>
      <c r="AF115" t="s">
        <v>495</v>
      </c>
      <c r="AG115" s="492"/>
      <c r="AH115" t="str">
        <f t="shared" si="179"/>
        <v>Each cryptographic key is defined and has documented lifecycle procedures</v>
      </c>
      <c r="AI115" t="str">
        <f t="shared" si="162"/>
        <v>Assessment</v>
      </c>
      <c r="AJ115" t="str">
        <f t="shared" si="137"/>
        <v>2.1.4.AX</v>
      </c>
      <c r="AK115" t="str">
        <f>IF(AND(AG115&lt;&gt;"",LEFT(AG115,1)&lt;&gt;"#"),IF(LEFT(AG115,1)="-",REPLACE(AG115,1,1,tech!$H$2),AG115),"")</f>
        <v/>
      </c>
      <c r="AL115" t="s">
        <v>495</v>
      </c>
      <c r="AM115" s="492" t="s">
        <v>843</v>
      </c>
      <c r="AN115" t="str">
        <f t="shared" si="180"/>
        <v>Certificate lifecycle management is documented</v>
      </c>
      <c r="AO115" t="str">
        <f t="shared" si="163"/>
        <v>References</v>
      </c>
      <c r="AP115" t="str">
        <f t="shared" si="139"/>
        <v>2.2.3.RY</v>
      </c>
      <c r="AQ115" t="str">
        <f>IF(AND(AM115&lt;&gt;"",LEFT(AM115,1)&lt;&gt;"#"),IF(LEFT(AM115,1)="-",REPLACE(AM115,1,1,tech!$H$2),AM115),"")</f>
        <v>Examples of process, protocols and profiled usage:</v>
      </c>
      <c r="AR115" t="s">
        <v>495</v>
      </c>
      <c r="AS115" s="492" t="s">
        <v>941</v>
      </c>
      <c r="AT115" t="str">
        <f t="shared" si="181"/>
        <v>Infrastructure recovery objectives controls</v>
      </c>
      <c r="AU115" t="str">
        <f t="shared" si="164"/>
        <v>Assessment</v>
      </c>
      <c r="AV115" t="str">
        <f t="shared" si="141"/>
        <v>2.3.4.AY</v>
      </c>
      <c r="AW115" t="str">
        <f>IF(AND(AS115&lt;&gt;"",LEFT(AS115,1)&lt;&gt;"#"),IF(LEFT(AS115,1)="-",REPLACE(AS115,1,1,tech!$H$2),AS115),"")</f>
        <v>• Backup and recovery plan</v>
      </c>
      <c r="AX115" t="s">
        <v>495</v>
      </c>
      <c r="AY115" s="492"/>
      <c r="AZ115" t="str">
        <f t="shared" si="182"/>
        <v>Requirements for agility are identified</v>
      </c>
      <c r="BA115" t="str">
        <f t="shared" si="165"/>
        <v>Assessment</v>
      </c>
      <c r="BB115" t="str">
        <f t="shared" si="143"/>
        <v>2.4.4.AX</v>
      </c>
      <c r="BC115" t="str">
        <f>IF(AND(AY115&lt;&gt;"",LEFT(AY115,1)&lt;&gt;"#"),IF(LEFT(AY115,1)="-",REPLACE(AY115,1,1,tech!$H$2),AY115),"")</f>
        <v/>
      </c>
      <c r="BD115" t="s">
        <v>495</v>
      </c>
      <c r="BE115" s="492"/>
      <c r="BF115" t="str">
        <f t="shared" si="183"/>
        <v>Technology future proofing</v>
      </c>
      <c r="BG115" t="str">
        <f t="shared" si="166"/>
        <v>Guidance</v>
      </c>
      <c r="BH115" t="str">
        <f t="shared" si="145"/>
        <v>3.1.4.GX</v>
      </c>
      <c r="BI115" t="str">
        <f>IF(AND(BE115&lt;&gt;"",LEFT(BE115,1)&lt;&gt;"#"),IF(LEFT(BE115,1)="-",REPLACE(BE115,1,1,tech!$H$2),BE115),"")</f>
        <v/>
      </c>
      <c r="BJ115" t="s">
        <v>495</v>
      </c>
      <c r="BK115" s="492"/>
      <c r="BL115" t="str">
        <f t="shared" si="184"/>
        <v>Adoption and application of open standards</v>
      </c>
      <c r="BM115" t="str">
        <f t="shared" si="167"/>
        <v>References</v>
      </c>
      <c r="BN115" t="str">
        <f t="shared" si="147"/>
        <v>3.2.3.RX</v>
      </c>
      <c r="BO115" t="str">
        <f>IF(AND(BK115&lt;&gt;"",LEFT(BK115,1)&lt;&gt;"#"),IF(LEFT(BK115,1)="-",REPLACE(BK115,1,1,tech!$H$2),BK115),"")</f>
        <v/>
      </c>
      <c r="BP115" t="s">
        <v>495</v>
      </c>
      <c r="BQ115" s="492"/>
      <c r="BR115" t="str">
        <f t="shared" si="185"/>
        <v>Monitoring of operational and security events is implemented</v>
      </c>
      <c r="BS115" t="str">
        <f t="shared" si="168"/>
        <v>Guidance</v>
      </c>
      <c r="BT115" t="str">
        <f t="shared" si="149"/>
        <v>3.3.4.GY</v>
      </c>
      <c r="BU115" t="str">
        <f>IF(AND(BQ115&lt;&gt;"",LEFT(BQ115,1)&lt;&gt;"#"),IF(LEFT(BQ115,1)="-",REPLACE(BQ115,1,1,tech!$H$2),BQ115),"")</f>
        <v/>
      </c>
      <c r="BV115" t="s">
        <v>495</v>
      </c>
      <c r="BW115" s="492"/>
      <c r="BX115" t="str">
        <f t="shared" si="186"/>
        <v>Incidents and exceptions handling</v>
      </c>
      <c r="BY115" t="str">
        <f t="shared" si="169"/>
        <v>References</v>
      </c>
      <c r="BZ115" t="str">
        <f t="shared" si="151"/>
        <v>3.4.3.RX</v>
      </c>
      <c r="CA115" t="str">
        <f>IF(AND(BW115&lt;&gt;"",LEFT(BW115,1)&lt;&gt;"#"),IF(LEFT(BW115,1)="-",REPLACE(BW115,1,1,tech!$H$2),BW115),"")</f>
        <v/>
      </c>
      <c r="CB115" t="s">
        <v>495</v>
      </c>
      <c r="CC115" s="492"/>
      <c r="CD115" t="str">
        <f t="shared" si="187"/>
        <v>Resources are periodically reviewed</v>
      </c>
      <c r="CE115" t="str">
        <f t="shared" si="170"/>
        <v>References</v>
      </c>
      <c r="CF115" t="str">
        <f t="shared" si="153"/>
        <v>4.1.4.RX</v>
      </c>
      <c r="CG115" t="str">
        <f>IF(AND(CC115&lt;&gt;"",LEFT(CC115,1)&lt;&gt;"#"),IF(LEFT(CC115,1)="-",REPLACE(CC115,1,1,tech!$H$2),CC115),"")</f>
        <v/>
      </c>
      <c r="CH115" t="s">
        <v>495</v>
      </c>
      <c r="CI115" s="492" t="s">
        <v>1311</v>
      </c>
      <c r="CJ115" t="str">
        <f t="shared" si="188"/>
        <v>Establish education plan</v>
      </c>
      <c r="CK115" t="str">
        <f t="shared" si="171"/>
        <v>Guidance</v>
      </c>
      <c r="CL115" t="str">
        <f t="shared" si="155"/>
        <v>4.2.4.GY</v>
      </c>
      <c r="CM115" t="str">
        <f>IF(AND(CI115&lt;&gt;"",LEFT(CI115,1)&lt;&gt;"#"),IF(LEFT(CI115,1)="-",REPLACE(CI115,1,1,tech!$H$2),CI115),"")</f>
        <v xml:space="preserve">Proper education plan is required to stay up to date with the development of the latest technologies, security practices, and controls that have impact on the PKI and its future development. </v>
      </c>
      <c r="CN115" t="s">
        <v>495</v>
      </c>
      <c r="CO115" s="492" t="s">
        <v>1400</v>
      </c>
      <c r="CP115" t="str">
        <f t="shared" si="189"/>
        <v>Timely communication of important information</v>
      </c>
      <c r="CQ115" t="str">
        <f t="shared" si="172"/>
        <v>Assessment</v>
      </c>
      <c r="CR115" t="str">
        <f t="shared" si="157"/>
        <v>4.3.4.AY</v>
      </c>
      <c r="CS115" t="str">
        <f>IF(AND(CO115&lt;&gt;"",LEFT(CO115,1)&lt;&gt;"#"),IF(LEFT(CO115,1)="-",REPLACE(CO115,1,1,tech!$H$2),CO115),"")</f>
        <v>• Documented procedures to timely inform PKI participants about high impact events</v>
      </c>
      <c r="CT115" t="s">
        <v>495</v>
      </c>
    </row>
    <row r="116" spans="3:98" x14ac:dyDescent="0.25">
      <c r="C116" s="492"/>
      <c r="D116" t="str">
        <f t="shared" si="173"/>
        <v>Optimized</v>
      </c>
      <c r="E116" t="str">
        <f t="shared" si="174"/>
        <v>Associated risks</v>
      </c>
      <c r="F116" t="str">
        <f>_xlfn.CONCAT(VLOOKUP(D116,tech!$A$13:$B$17,2,0),LEFT(E116,1),IF(G116="","X","Y"))</f>
        <v>5AX</v>
      </c>
      <c r="G116" t="str">
        <f>IF(IF(LEFT(C116,1)="-",C116,"")="","",REPLACE(IF(LEFT(C116,1)="-",C116,""),1,1,tech!$H$2))</f>
        <v/>
      </c>
      <c r="H116" t="s">
        <v>495</v>
      </c>
      <c r="I116" s="492"/>
      <c r="J116" t="str">
        <f t="shared" si="175"/>
        <v>Architecture and design of the PKI</v>
      </c>
      <c r="K116" t="str">
        <f t="shared" si="158"/>
        <v>References</v>
      </c>
      <c r="L116" t="str">
        <f t="shared" si="129"/>
        <v>1.1.4.RX</v>
      </c>
      <c r="M116" t="str">
        <f>IF(AND(I116&lt;&gt;"",LEFT(I116,1)&lt;&gt;"#"),IF(LEFT(I116,1)="-",REPLACE(I116,1,1,tech!$H$2),I116),"")</f>
        <v/>
      </c>
      <c r="N116" t="s">
        <v>495</v>
      </c>
      <c r="O116" s="492" t="s">
        <v>589</v>
      </c>
      <c r="P116" t="str">
        <f t="shared" si="176"/>
        <v>Disclosure statement is documented and published</v>
      </c>
      <c r="Q116" t="str">
        <f t="shared" si="159"/>
        <v>Guidance</v>
      </c>
      <c r="R116" t="str">
        <f t="shared" si="131"/>
        <v>1.2.4.GY</v>
      </c>
      <c r="S116" t="str">
        <f>IF(AND(O116&lt;&gt;"",LEFT(O116,1)&lt;&gt;"#"),IF(LEFT(O116,1)="-",REPLACE(O116,1,1,tech!$H$2),O116),"")</f>
        <v>• Refund policy and claims</v>
      </c>
      <c r="T116" t="s">
        <v>495</v>
      </c>
      <c r="U116" s="492"/>
      <c r="V116" t="str">
        <f t="shared" si="177"/>
        <v>List of relevant laws, regulations, and standards, exist and is maintained</v>
      </c>
      <c r="W116" t="str">
        <f t="shared" si="160"/>
        <v>References</v>
      </c>
      <c r="X116" t="str">
        <f t="shared" si="133"/>
        <v>1.3.4.RX</v>
      </c>
      <c r="Y116" t="str">
        <f>IF(AND(U116&lt;&gt;"",LEFT(U116,1)&lt;&gt;"#"),IF(LEFT(U116,1)="-",REPLACE(U116,1,1,tech!$H$2),U116),"")</f>
        <v/>
      </c>
      <c r="Z116" t="s">
        <v>495</v>
      </c>
      <c r="AA116" s="492" t="s">
        <v>667</v>
      </c>
      <c r="AB116" t="str">
        <f t="shared" si="178"/>
        <v>Processes and procedures are reviewed and updated</v>
      </c>
      <c r="AC116" t="str">
        <f t="shared" si="161"/>
        <v>Assessment</v>
      </c>
      <c r="AD116" t="str">
        <f t="shared" si="135"/>
        <v>1.4.5.AY</v>
      </c>
      <c r="AE116" t="str">
        <f>IF(AND(AA116&lt;&gt;"",LEFT(AA116,1)&lt;&gt;"#"),IF(LEFT(AA116,1)="-",REPLACE(AA116,1,1,tech!$H$2),AA116),"")</f>
        <v>The following is sample evidence and information that can be collected during the assessment:</v>
      </c>
      <c r="AF116" t="s">
        <v>495</v>
      </c>
      <c r="AG116" s="492" t="s">
        <v>503</v>
      </c>
      <c r="AH116" t="str">
        <f t="shared" si="179"/>
        <v>Each cryptographic key is defined and has documented lifecycle procedures</v>
      </c>
      <c r="AI116" t="str">
        <f t="shared" si="162"/>
        <v>References</v>
      </c>
      <c r="AJ116" t="str">
        <f t="shared" si="137"/>
        <v>2.1.4.RX</v>
      </c>
      <c r="AK116" t="str">
        <f>IF(AND(AG116&lt;&gt;"",LEFT(AG116,1)&lt;&gt;"#"),IF(LEFT(AG116,1)="-",REPLACE(AG116,1,1,tech!$H$2),AG116),"")</f>
        <v/>
      </c>
      <c r="AL116" t="s">
        <v>495</v>
      </c>
      <c r="AM116" s="492" t="s">
        <v>844</v>
      </c>
      <c r="AN116" t="str">
        <f t="shared" si="180"/>
        <v>Certificate lifecycle management is documented</v>
      </c>
      <c r="AO116" t="str">
        <f t="shared" si="163"/>
        <v>References</v>
      </c>
      <c r="AP116" t="str">
        <f t="shared" si="139"/>
        <v>2.2.3.RY</v>
      </c>
      <c r="AQ116" t="str">
        <f>IF(AND(AM116&lt;&gt;"",LEFT(AM116,1)&lt;&gt;"#"),IF(LEFT(AM116,1)="-",REPLACE(AM116,1,1,tech!$H$2),AM116),"")</f>
        <v>* [RFC 4210 - Internet X.509 Public Key Infrastructure</v>
      </c>
      <c r="AR116" t="s">
        <v>495</v>
      </c>
      <c r="AS116" s="492" t="s">
        <v>942</v>
      </c>
      <c r="AT116" t="str">
        <f t="shared" si="181"/>
        <v>Infrastructure recovery objectives controls</v>
      </c>
      <c r="AU116" t="str">
        <f t="shared" si="164"/>
        <v>Assessment</v>
      </c>
      <c r="AV116" t="str">
        <f t="shared" si="141"/>
        <v>2.3.4.AY</v>
      </c>
      <c r="AW116" t="str">
        <f>IF(AND(AS116&lt;&gt;"",LEFT(AS116,1)&lt;&gt;"#"),IF(LEFT(AS116,1)="-",REPLACE(AS116,1,1,tech!$H$2),AS116),"")</f>
        <v>• infrastructure configuration as a code</v>
      </c>
      <c r="AX116" t="s">
        <v>495</v>
      </c>
      <c r="AY116" s="492" t="s">
        <v>502</v>
      </c>
      <c r="AZ116" t="str">
        <f t="shared" si="182"/>
        <v>Requirements for agility are identified</v>
      </c>
      <c r="BA116" t="str">
        <f t="shared" si="165"/>
        <v>Assessment</v>
      </c>
      <c r="BB116" t="str">
        <f t="shared" si="143"/>
        <v>2.4.4.AY</v>
      </c>
      <c r="BC116" t="str">
        <f>IF(AND(AY116&lt;&gt;"",LEFT(AY116,1)&lt;&gt;"#"),IF(LEFT(AY116,1)="-",REPLACE(AY116,1,1,tech!$H$2),AY116),"")</f>
        <v>The following is sample evidence that can be used to assess the requirement:</v>
      </c>
      <c r="BD116" t="s">
        <v>495</v>
      </c>
      <c r="BE116" s="492" t="s">
        <v>501</v>
      </c>
      <c r="BF116" t="str">
        <f t="shared" si="183"/>
        <v>Technology future proofing</v>
      </c>
      <c r="BG116" t="str">
        <f t="shared" si="166"/>
        <v>Assessment</v>
      </c>
      <c r="BH116" t="str">
        <f t="shared" si="145"/>
        <v>3.1.4.AX</v>
      </c>
      <c r="BI116" t="str">
        <f>IF(AND(BE116&lt;&gt;"",LEFT(BE116,1)&lt;&gt;"#"),IF(LEFT(BE116,1)="-",REPLACE(BE116,1,1,tech!$H$2),BE116),"")</f>
        <v/>
      </c>
      <c r="BJ116" t="s">
        <v>495</v>
      </c>
      <c r="BK116" s="492"/>
      <c r="BL116" t="str">
        <f t="shared" si="184"/>
        <v>Adoption and application of open standards</v>
      </c>
      <c r="BM116" t="str">
        <f t="shared" si="167"/>
        <v>References</v>
      </c>
      <c r="BN116" t="str">
        <f t="shared" si="147"/>
        <v>3.2.3.RX</v>
      </c>
      <c r="BO116" t="str">
        <f>IF(AND(BK116&lt;&gt;"",LEFT(BK116,1)&lt;&gt;"#"),IF(LEFT(BK116,1)="-",REPLACE(BK116,1,1,tech!$H$2),BK116),"")</f>
        <v/>
      </c>
      <c r="BP116" t="s">
        <v>495</v>
      </c>
      <c r="BQ116" s="492" t="s">
        <v>1162</v>
      </c>
      <c r="BR116" t="str">
        <f t="shared" si="185"/>
        <v>Monitoring of operational and security events is implemented</v>
      </c>
      <c r="BS116" t="str">
        <f t="shared" si="168"/>
        <v>Guidance</v>
      </c>
      <c r="BT116" t="str">
        <f t="shared" si="149"/>
        <v>3.3.4.GY</v>
      </c>
      <c r="BU116" t="str">
        <f>IF(AND(BQ116&lt;&gt;"",LEFT(BQ116,1)&lt;&gt;"#"),IF(LEFT(BQ116,1)="-",REPLACE(BQ116,1,1,tech!$H$2),BQ116),"")</f>
        <v>Monitoring should be aligned with the monitoring and auditing requirements defined in the CP, CPS, and other relevant documents. The monitoring should be implemented to ensure that the requirements are met.</v>
      </c>
      <c r="BV116" t="s">
        <v>495</v>
      </c>
      <c r="BW116" s="492"/>
      <c r="BX116" t="str">
        <f t="shared" si="186"/>
        <v>Incidents and exceptions handling</v>
      </c>
      <c r="BY116" t="str">
        <f t="shared" si="169"/>
        <v>References</v>
      </c>
      <c r="BZ116" t="str">
        <f t="shared" si="151"/>
        <v>3.4.3.RX</v>
      </c>
      <c r="CA116" t="str">
        <f>IF(AND(BW116&lt;&gt;"",LEFT(BW116,1)&lt;&gt;"#"),IF(LEFT(BW116,1)="-",REPLACE(BW116,1,1,tech!$H$2),BW116),"")</f>
        <v/>
      </c>
      <c r="CB116" t="s">
        <v>495</v>
      </c>
      <c r="CC116" s="492"/>
      <c r="CD116" t="str">
        <f t="shared" si="187"/>
        <v>Resources are periodically reviewed</v>
      </c>
      <c r="CE116" t="str">
        <f t="shared" si="170"/>
        <v>References</v>
      </c>
      <c r="CF116" t="str">
        <f t="shared" si="153"/>
        <v>4.1.4.RX</v>
      </c>
      <c r="CG116" t="str">
        <f>IF(AND(CC116&lt;&gt;"",LEFT(CC116,1)&lt;&gt;"#"),IF(LEFT(CC116,1)="-",REPLACE(CC116,1,1,tech!$H$2),CC116),"")</f>
        <v/>
      </c>
      <c r="CH116" t="s">
        <v>495</v>
      </c>
      <c r="CI116" s="492"/>
      <c r="CJ116" t="str">
        <f t="shared" si="188"/>
        <v>Establish education plan</v>
      </c>
      <c r="CK116" t="str">
        <f t="shared" si="171"/>
        <v>Guidance</v>
      </c>
      <c r="CL116" t="str">
        <f t="shared" si="155"/>
        <v>4.2.4.GY</v>
      </c>
      <c r="CM116" t="str">
        <f>IF(AND(CI116&lt;&gt;"",LEFT(CI116,1)&lt;&gt;"#"),IF(LEFT(CI116,1)="-",REPLACE(CI116,1,1,tech!$H$2),CI116),"")</f>
        <v/>
      </c>
      <c r="CN116" t="s">
        <v>495</v>
      </c>
      <c r="CO116" s="492" t="s">
        <v>1401</v>
      </c>
      <c r="CP116" t="str">
        <f t="shared" si="189"/>
        <v>Timely communication of important information</v>
      </c>
      <c r="CQ116" t="str">
        <f t="shared" si="172"/>
        <v>Assessment</v>
      </c>
      <c r="CR116" t="str">
        <f t="shared" si="157"/>
        <v>4.3.4.AY</v>
      </c>
      <c r="CS116" t="str">
        <f>IF(AND(CO116&lt;&gt;"",LEFT(CO116,1)&lt;&gt;"#"),IF(LEFT(CO116,1)="-",REPLACE(CO116,1,1,tech!$H$2),CO116),"")</f>
        <v>• Review that the procedures are followed</v>
      </c>
      <c r="CT116" t="s">
        <v>495</v>
      </c>
    </row>
    <row r="117" spans="3:98" x14ac:dyDescent="0.25">
      <c r="C117" s="492"/>
      <c r="D117" t="str">
        <f t="shared" si="173"/>
        <v>Optimized</v>
      </c>
      <c r="E117" t="str">
        <f t="shared" si="174"/>
        <v>Associated risks</v>
      </c>
      <c r="F117" t="str">
        <f>_xlfn.CONCAT(VLOOKUP(D117,tech!$A$13:$B$17,2,0),LEFT(E117,1),IF(G117="","X","Y"))</f>
        <v>5AX</v>
      </c>
      <c r="G117" t="str">
        <f>IF(IF(LEFT(C117,1)="-",C117,"")="","",REPLACE(IF(LEFT(C117,1)="-",C117,""),1,1,tech!$H$2))</f>
        <v/>
      </c>
      <c r="H117" t="s">
        <v>495</v>
      </c>
      <c r="I117" s="492"/>
      <c r="J117" t="str">
        <f t="shared" si="175"/>
        <v>Architecture and design of the PKI</v>
      </c>
      <c r="K117" t="str">
        <f t="shared" si="158"/>
        <v>References</v>
      </c>
      <c r="L117" t="str">
        <f t="shared" si="129"/>
        <v>1.1.4.RX</v>
      </c>
      <c r="M117" t="str">
        <f>IF(AND(I117&lt;&gt;"",LEFT(I117,1)&lt;&gt;"#"),IF(LEFT(I117,1)="-",REPLACE(I117,1,1,tech!$H$2),I117),"")</f>
        <v/>
      </c>
      <c r="N117" t="s">
        <v>495</v>
      </c>
      <c r="O117" s="492" t="s">
        <v>590</v>
      </c>
      <c r="P117" t="str">
        <f t="shared" si="176"/>
        <v>Disclosure statement is documented and published</v>
      </c>
      <c r="Q117" t="str">
        <f t="shared" si="159"/>
        <v>Guidance</v>
      </c>
      <c r="R117" t="str">
        <f t="shared" si="131"/>
        <v>1.2.4.GY</v>
      </c>
      <c r="S117" t="str">
        <f>IF(AND(O117&lt;&gt;"",LEFT(O117,1)&lt;&gt;"#"),IF(LEFT(O117,1)="-",REPLACE(O117,1,1,tech!$H$2),O117),"")</f>
        <v>• information on audit and compliance</v>
      </c>
      <c r="T117" t="s">
        <v>495</v>
      </c>
      <c r="U117" s="492"/>
      <c r="V117" t="str">
        <f t="shared" si="177"/>
        <v>List of relevant laws, regulations, and standards, exist and is maintained</v>
      </c>
      <c r="W117" t="str">
        <f t="shared" si="160"/>
        <v>References</v>
      </c>
      <c r="X117" t="str">
        <f t="shared" si="133"/>
        <v>1.3.4.RX</v>
      </c>
      <c r="Y117" t="str">
        <f>IF(AND(U117&lt;&gt;"",LEFT(U117,1)&lt;&gt;"#"),IF(LEFT(U117,1)="-",REPLACE(U117,1,1,tech!$H$2),U117),"")</f>
        <v/>
      </c>
      <c r="Z117" t="s">
        <v>495</v>
      </c>
      <c r="AA117" s="492" t="s">
        <v>693</v>
      </c>
      <c r="AB117" t="str">
        <f t="shared" si="178"/>
        <v>Processes and procedures are reviewed and updated</v>
      </c>
      <c r="AC117" t="str">
        <f t="shared" si="161"/>
        <v>Assessment</v>
      </c>
      <c r="AD117" t="str">
        <f t="shared" si="135"/>
        <v>1.4.5.AY</v>
      </c>
      <c r="AE117" t="str">
        <f>IF(AND(AA117&lt;&gt;"",LEFT(AA117,1)&lt;&gt;"#"),IF(LEFT(AA117,1)="-",REPLACE(AA117,1,1,tech!$H$2),AA117),"")</f>
        <v>• Documented review and update process</v>
      </c>
      <c r="AF117" t="s">
        <v>495</v>
      </c>
      <c r="AG117" s="492"/>
      <c r="AH117" t="str">
        <f t="shared" si="179"/>
        <v>Each cryptographic key is defined and has documented lifecycle procedures</v>
      </c>
      <c r="AI117" t="str">
        <f t="shared" si="162"/>
        <v>References</v>
      </c>
      <c r="AJ117" t="str">
        <f t="shared" si="137"/>
        <v>2.1.4.RX</v>
      </c>
      <c r="AK117" t="str">
        <f>IF(AND(AG117&lt;&gt;"",LEFT(AG117,1)&lt;&gt;"#"),IF(LEFT(AG117,1)="-",REPLACE(AG117,1,1,tech!$H$2),AG117),"")</f>
        <v/>
      </c>
      <c r="AL117" t="s">
        <v>495</v>
      </c>
      <c r="AM117" s="492" t="s">
        <v>845</v>
      </c>
      <c r="AN117" t="str">
        <f t="shared" si="180"/>
        <v>Certificate lifecycle management is documented</v>
      </c>
      <c r="AO117" t="str">
        <f t="shared" si="163"/>
        <v>References</v>
      </c>
      <c r="AP117" t="str">
        <f t="shared" si="139"/>
        <v>2.2.3.RY</v>
      </c>
      <c r="AQ117" t="str">
        <f>IF(AND(AM117&lt;&gt;"",LEFT(AM117,1)&lt;&gt;"#"),IF(LEFT(AM117,1)="-",REPLACE(AM117,1,1,tech!$H$2),AM117),"")</f>
        <v xml:space="preserve">  Certificate Management Protocol (CMP)](https://datatracker.ietf.org/doc/html/rfc4210/)</v>
      </c>
      <c r="AR117" t="s">
        <v>495</v>
      </c>
      <c r="AS117" s="492" t="s">
        <v>943</v>
      </c>
      <c r="AT117" t="str">
        <f t="shared" si="181"/>
        <v>Infrastructure recovery objectives controls</v>
      </c>
      <c r="AU117" t="str">
        <f t="shared" si="164"/>
        <v>Assessment</v>
      </c>
      <c r="AV117" t="str">
        <f t="shared" si="141"/>
        <v>2.3.4.AY</v>
      </c>
      <c r="AW117" t="str">
        <f>IF(AND(AS117&lt;&gt;"",LEFT(AS117,1)&lt;&gt;"#"),IF(LEFT(AS117,1)="-",REPLACE(AS117,1,1,tech!$H$2),AS117),"")</f>
        <v>• Interview with the infrastructure administrators</v>
      </c>
      <c r="AX117" t="s">
        <v>495</v>
      </c>
      <c r="AY117" s="492" t="s">
        <v>1005</v>
      </c>
      <c r="AZ117" t="str">
        <f t="shared" si="182"/>
        <v>Requirements for agility are identified</v>
      </c>
      <c r="BA117" t="str">
        <f t="shared" si="165"/>
        <v>Assessment</v>
      </c>
      <c r="BB117" t="str">
        <f t="shared" si="143"/>
        <v>2.4.4.AY</v>
      </c>
      <c r="BC117" t="str">
        <f>IF(AND(AY117&lt;&gt;"",LEFT(AY117,1)&lt;&gt;"#"),IF(LEFT(AY117,1)="-",REPLACE(AY117,1,1,tech!$H$2),AY117),"")</f>
        <v>• agility requirements of the PKI implementation</v>
      </c>
      <c r="BD117" t="s">
        <v>495</v>
      </c>
      <c r="BE117" s="492"/>
      <c r="BF117" t="str">
        <f t="shared" si="183"/>
        <v>Technology future proofing</v>
      </c>
      <c r="BG117" t="str">
        <f t="shared" si="166"/>
        <v>Assessment</v>
      </c>
      <c r="BH117" t="str">
        <f t="shared" si="145"/>
        <v>3.1.4.AX</v>
      </c>
      <c r="BI117" t="str">
        <f>IF(AND(BE117&lt;&gt;"",LEFT(BE117,1)&lt;&gt;"#"),IF(LEFT(BE117,1)="-",REPLACE(BE117,1,1,tech!$H$2),BE117),"")</f>
        <v/>
      </c>
      <c r="BJ117" t="s">
        <v>495</v>
      </c>
      <c r="BK117" s="492"/>
      <c r="BL117" t="str">
        <f t="shared" si="184"/>
        <v>Adoption and application of open standards</v>
      </c>
      <c r="BM117" t="str">
        <f t="shared" si="167"/>
        <v>References</v>
      </c>
      <c r="BN117" t="str">
        <f t="shared" si="147"/>
        <v>3.2.3.RX</v>
      </c>
      <c r="BO117" t="str">
        <f>IF(AND(BK117&lt;&gt;"",LEFT(BK117,1)&lt;&gt;"#"),IF(LEFT(BK117,1)="-",REPLACE(BK117,1,1,tech!$H$2),BK117),"")</f>
        <v/>
      </c>
      <c r="BP117" t="s">
        <v>495</v>
      </c>
      <c r="BQ117" s="492"/>
      <c r="BR117" t="str">
        <f t="shared" si="185"/>
        <v>Monitoring of operational and security events is implemented</v>
      </c>
      <c r="BS117" t="str">
        <f t="shared" si="168"/>
        <v>Guidance</v>
      </c>
      <c r="BT117" t="str">
        <f t="shared" si="149"/>
        <v>3.3.4.GX</v>
      </c>
      <c r="BU117" t="str">
        <f>IF(AND(BQ117&lt;&gt;"",LEFT(BQ117,1)&lt;&gt;"#"),IF(LEFT(BQ117,1)="-",REPLACE(BQ117,1,1,tech!$H$2),BQ117),"")</f>
        <v/>
      </c>
      <c r="BV117" t="s">
        <v>495</v>
      </c>
      <c r="BW117" s="492"/>
      <c r="BX117" t="str">
        <f t="shared" si="186"/>
        <v>Incidents and exceptions handling</v>
      </c>
      <c r="BY117" t="str">
        <f t="shared" si="169"/>
        <v>References</v>
      </c>
      <c r="BZ117" t="str">
        <f t="shared" si="151"/>
        <v>3.4.3.RX</v>
      </c>
      <c r="CA117" t="str">
        <f>IF(AND(BW117&lt;&gt;"",LEFT(BW117,1)&lt;&gt;"#"),IF(LEFT(BW117,1)="-",REPLACE(BW117,1,1,tech!$H$2),BW117),"")</f>
        <v/>
      </c>
      <c r="CB117" t="s">
        <v>495</v>
      </c>
      <c r="CC117" s="492"/>
      <c r="CD117" t="str">
        <f t="shared" si="187"/>
        <v>Resources are periodically reviewed</v>
      </c>
      <c r="CE117" t="str">
        <f t="shared" si="170"/>
        <v>References</v>
      </c>
      <c r="CF117" t="str">
        <f t="shared" si="153"/>
        <v>4.1.4.RX</v>
      </c>
      <c r="CG117" t="str">
        <f>IF(AND(CC117&lt;&gt;"",LEFT(CC117,1)&lt;&gt;"#"),IF(LEFT(CC117,1)="-",REPLACE(CC117,1,1,tech!$H$2),CC117),"")</f>
        <v/>
      </c>
      <c r="CH117" t="s">
        <v>495</v>
      </c>
      <c r="CI117" s="492" t="s">
        <v>1312</v>
      </c>
      <c r="CJ117" t="str">
        <f t="shared" si="188"/>
        <v>Establish education plan</v>
      </c>
      <c r="CK117" t="str">
        <f t="shared" si="171"/>
        <v>Guidance</v>
      </c>
      <c r="CL117" t="str">
        <f t="shared" si="155"/>
        <v>4.2.4.GY</v>
      </c>
      <c r="CM117" t="str">
        <f>IF(AND(CI117&lt;&gt;"",LEFT(CI117,1)&lt;&gt;"#"),IF(LEFT(CI117,1)="-",REPLACE(CI117,1,1,tech!$H$2),CI117),"")</f>
        <v>The education plan should establish a robust base for the personnel to gain relevant knowledge that are out of scope of the internal training plan, but should be aligned with it to ensure that the personnel are able to perform their duties and responsibilities. The education plan should cover:</v>
      </c>
      <c r="CN117" t="s">
        <v>495</v>
      </c>
      <c r="CO117" s="492" t="s">
        <v>1491</v>
      </c>
      <c r="CP117" t="str">
        <f t="shared" si="189"/>
        <v>Timely communication of important information</v>
      </c>
      <c r="CQ117" t="str">
        <f t="shared" si="172"/>
        <v>Assessment</v>
      </c>
      <c r="CR117" t="str">
        <f t="shared" si="157"/>
        <v>4.3.4.AY</v>
      </c>
      <c r="CS117" t="str">
        <f>IF(AND(CO117&lt;&gt;"",LEFT(CO117,1)&lt;&gt;"#"),IF(LEFT(CO117,1)="-",REPLACE(CO117,1,1,tech!$H$2),CO117),"")</f>
        <v>• Interview personnel to ensure that they are aware of the procedures and know How to communicate the information</v>
      </c>
      <c r="CT117" t="s">
        <v>495</v>
      </c>
    </row>
    <row r="118" spans="3:98" x14ac:dyDescent="0.25">
      <c r="C118" s="492"/>
      <c r="D118" t="str">
        <f t="shared" si="173"/>
        <v>Optimized</v>
      </c>
      <c r="E118" t="str">
        <f t="shared" si="174"/>
        <v>Associated risks</v>
      </c>
      <c r="F118" t="str">
        <f>_xlfn.CONCAT(VLOOKUP(D118,tech!$A$13:$B$17,2,0),LEFT(E118,1),IF(G118="","X","Y"))</f>
        <v>5AX</v>
      </c>
      <c r="G118" t="str">
        <f>IF(IF(LEFT(C118,1)="-",C118,"")="","",REPLACE(IF(LEFT(C118,1)="-",C118,""),1,1,tech!$H$2))</f>
        <v/>
      </c>
      <c r="H118" t="s">
        <v>495</v>
      </c>
      <c r="I118" s="492"/>
      <c r="J118" t="str">
        <f t="shared" si="175"/>
        <v>Architecture and design of the PKI</v>
      </c>
      <c r="K118" t="str">
        <f t="shared" si="158"/>
        <v>References</v>
      </c>
      <c r="L118" t="str">
        <f t="shared" si="129"/>
        <v>1.1.4.RX</v>
      </c>
      <c r="M118" t="str">
        <f>IF(AND(I118&lt;&gt;"",LEFT(I118,1)&lt;&gt;"#"),IF(LEFT(I118,1)="-",REPLACE(I118,1,1,tech!$H$2),I118),"")</f>
        <v/>
      </c>
      <c r="N118" t="s">
        <v>495</v>
      </c>
      <c r="O118" s="492"/>
      <c r="P118" t="str">
        <f t="shared" si="176"/>
        <v>Disclosure statement is documented and published</v>
      </c>
      <c r="Q118" t="str">
        <f t="shared" si="159"/>
        <v>Guidance</v>
      </c>
      <c r="R118" t="str">
        <f t="shared" si="131"/>
        <v>1.2.4.GY</v>
      </c>
      <c r="S118" t="str">
        <f>IF(AND(O118&lt;&gt;"",LEFT(O118,1)&lt;&gt;"#"),IF(LEFT(O118,1)="-",REPLACE(O118,1,1,tech!$H$2),O118),"")</f>
        <v/>
      </c>
      <c r="T118" t="s">
        <v>495</v>
      </c>
      <c r="U118" s="492"/>
      <c r="V118" t="str">
        <f t="shared" si="177"/>
        <v>List of relevant laws, regulations, and standards, exist and is maintained</v>
      </c>
      <c r="W118" t="str">
        <f t="shared" si="160"/>
        <v>References</v>
      </c>
      <c r="X118" t="str">
        <f t="shared" si="133"/>
        <v>1.3.4.RX</v>
      </c>
      <c r="Y118" t="str">
        <f>IF(AND(U118&lt;&gt;"",LEFT(U118,1)&lt;&gt;"#"),IF(LEFT(U118,1)="-",REPLACE(U118,1,1,tech!$H$2),U118),"")</f>
        <v/>
      </c>
      <c r="Z118" t="s">
        <v>495</v>
      </c>
      <c r="AA118" s="492" t="s">
        <v>694</v>
      </c>
      <c r="AB118" t="str">
        <f t="shared" si="178"/>
        <v>Processes and procedures are reviewed and updated</v>
      </c>
      <c r="AC118" t="str">
        <f t="shared" si="161"/>
        <v>Assessment</v>
      </c>
      <c r="AD118" t="str">
        <f t="shared" si="135"/>
        <v>1.4.5.AY</v>
      </c>
      <c r="AE118" t="str">
        <f>IF(AND(AA118&lt;&gt;"",LEFT(AA118,1)&lt;&gt;"#"),IF(LEFT(AA118,1)="-",REPLACE(AA118,1,1,tech!$H$2),AA118),"")</f>
        <v>• Evidence of the review and update of the processes and procedures</v>
      </c>
      <c r="AF118" t="s">
        <v>495</v>
      </c>
      <c r="AG118" s="492" t="s">
        <v>714</v>
      </c>
      <c r="AH118" t="str">
        <f t="shared" si="179"/>
        <v>Each cryptographic key is defined and has documented lifecycle procedures</v>
      </c>
      <c r="AI118" t="str">
        <f t="shared" si="162"/>
        <v>References</v>
      </c>
      <c r="AJ118" t="str">
        <f t="shared" si="137"/>
        <v>2.1.4.RY</v>
      </c>
      <c r="AK118" t="str">
        <f>IF(AND(AG118&lt;&gt;"",LEFT(AG118,1)&lt;&gt;"#"),IF(LEFT(AG118,1)="-",REPLACE(AG118,1,1,tech!$H$2),AG118),"")</f>
        <v>• [NIST SP 800-57 Recommendation for Key Management](https://csrc.nist.gov/projects/key-management/key-management-guidelines)</v>
      </c>
      <c r="AL118" t="s">
        <v>495</v>
      </c>
      <c r="AM118" s="492" t="s">
        <v>794</v>
      </c>
      <c r="AN118" t="str">
        <f t="shared" si="180"/>
        <v>Certificate lifecycle management is documented</v>
      </c>
      <c r="AO118" t="str">
        <f t="shared" si="163"/>
        <v>References</v>
      </c>
      <c r="AP118" t="str">
        <f t="shared" si="139"/>
        <v>2.2.3.RY</v>
      </c>
      <c r="AQ118" t="str">
        <f>IF(AND(AM118&lt;&gt;"",LEFT(AM118,1)&lt;&gt;"#"),IF(LEFT(AM118,1)="-",REPLACE(AM118,1,1,tech!$H$2),AM118),"")</f>
        <v>* [CA/B Forum baseline requirements](https://cabforum.org/baseline-requirements/)</v>
      </c>
      <c r="AR118" t="s">
        <v>495</v>
      </c>
      <c r="AS118" s="492"/>
      <c r="AT118" t="str">
        <f t="shared" si="181"/>
        <v>Infrastructure recovery objectives controls</v>
      </c>
      <c r="AU118" t="str">
        <f t="shared" si="164"/>
        <v>Assessment</v>
      </c>
      <c r="AV118" t="str">
        <f t="shared" si="141"/>
        <v>2.3.4.AX</v>
      </c>
      <c r="AW118" t="str">
        <f>IF(AND(AS118&lt;&gt;"",LEFT(AS118,1)&lt;&gt;"#"),IF(LEFT(AS118,1)="-",REPLACE(AS118,1,1,tech!$H$2),AS118),"")</f>
        <v/>
      </c>
      <c r="AX118" t="s">
        <v>495</v>
      </c>
      <c r="AY118" s="492" t="s">
        <v>1006</v>
      </c>
      <c r="AZ118" t="str">
        <f t="shared" si="182"/>
        <v>Requirements for agility are identified</v>
      </c>
      <c r="BA118" t="str">
        <f t="shared" si="165"/>
        <v>Assessment</v>
      </c>
      <c r="BB118" t="str">
        <f t="shared" si="143"/>
        <v>2.4.4.AY</v>
      </c>
      <c r="BC118" t="str">
        <f>IF(AND(AY118&lt;&gt;"",LEFT(AY118,1)&lt;&gt;"#"),IF(LEFT(AY118,1)="-",REPLACE(AY118,1,1,tech!$H$2),AY118),"")</f>
        <v>• configuration changes</v>
      </c>
      <c r="BD118" t="s">
        <v>495</v>
      </c>
      <c r="BE118" s="492" t="s">
        <v>502</v>
      </c>
      <c r="BF118" t="str">
        <f t="shared" si="183"/>
        <v>Technology future proofing</v>
      </c>
      <c r="BG118" t="str">
        <f t="shared" si="166"/>
        <v>Assessment</v>
      </c>
      <c r="BH118" t="str">
        <f t="shared" si="145"/>
        <v>3.1.4.AY</v>
      </c>
      <c r="BI118" t="str">
        <f>IF(AND(BE118&lt;&gt;"",LEFT(BE118,1)&lt;&gt;"#"),IF(LEFT(BE118,1)="-",REPLACE(BE118,1,1,tech!$H$2),BE118),"")</f>
        <v>The following is sample evidence that can be used to assess the requirement:</v>
      </c>
      <c r="BJ118" t="s">
        <v>495</v>
      </c>
      <c r="BK118" s="492"/>
      <c r="BL118" t="str">
        <f t="shared" si="184"/>
        <v>Adoption and application of open standards</v>
      </c>
      <c r="BM118" t="str">
        <f t="shared" si="167"/>
        <v>References</v>
      </c>
      <c r="BN118" t="str">
        <f t="shared" si="147"/>
        <v>3.2.3.RX</v>
      </c>
      <c r="BO118" t="str">
        <f>IF(AND(BK118&lt;&gt;"",LEFT(BK118,1)&lt;&gt;"#"),IF(LEFT(BK118,1)="-",REPLACE(BK118,1,1,tech!$H$2),BK118),"")</f>
        <v/>
      </c>
      <c r="BP118" t="s">
        <v>495</v>
      </c>
      <c r="BQ118" s="492" t="s">
        <v>501</v>
      </c>
      <c r="BR118" t="str">
        <f t="shared" si="185"/>
        <v>Monitoring of operational and security events is implemented</v>
      </c>
      <c r="BS118" t="str">
        <f t="shared" si="168"/>
        <v>Assessment</v>
      </c>
      <c r="BT118" t="str">
        <f t="shared" si="149"/>
        <v>3.3.4.AX</v>
      </c>
      <c r="BU118" t="str">
        <f>IF(AND(BQ118&lt;&gt;"",LEFT(BQ118,1)&lt;&gt;"#"),IF(LEFT(BQ118,1)="-",REPLACE(BQ118,1,1,tech!$H$2),BQ118),"")</f>
        <v/>
      </c>
      <c r="BV118" t="s">
        <v>495</v>
      </c>
      <c r="BW118" s="492"/>
      <c r="BX118" t="str">
        <f t="shared" si="186"/>
        <v>Incidents and exceptions handling</v>
      </c>
      <c r="BY118" t="str">
        <f t="shared" si="169"/>
        <v>References</v>
      </c>
      <c r="BZ118" t="str">
        <f t="shared" si="151"/>
        <v>3.4.3.RX</v>
      </c>
      <c r="CA118" t="str">
        <f>IF(AND(BW118&lt;&gt;"",LEFT(BW118,1)&lt;&gt;"#"),IF(LEFT(BW118,1)="-",REPLACE(BW118,1,1,tech!$H$2),BW118),"")</f>
        <v/>
      </c>
      <c r="CB118" t="s">
        <v>495</v>
      </c>
      <c r="CC118" s="492"/>
      <c r="CD118" t="str">
        <f t="shared" si="187"/>
        <v>Resources are periodically reviewed</v>
      </c>
      <c r="CE118" t="str">
        <f t="shared" si="170"/>
        <v>References</v>
      </c>
      <c r="CF118" t="str">
        <f t="shared" si="153"/>
        <v>4.1.4.RX</v>
      </c>
      <c r="CG118" t="str">
        <f>IF(AND(CC118&lt;&gt;"",LEFT(CC118,1)&lt;&gt;"#"),IF(LEFT(CC118,1)="-",REPLACE(CC118,1,1,tech!$H$2),CC118),"")</f>
        <v/>
      </c>
      <c r="CH118" t="s">
        <v>495</v>
      </c>
      <c r="CI118" s="492" t="s">
        <v>1351</v>
      </c>
      <c r="CJ118" t="str">
        <f t="shared" si="188"/>
        <v>Establish education plan</v>
      </c>
      <c r="CK118" t="str">
        <f t="shared" si="171"/>
        <v>Guidance</v>
      </c>
      <c r="CL118" t="str">
        <f t="shared" si="155"/>
        <v>4.2.4.GY</v>
      </c>
      <c r="CM118" t="str">
        <f>IF(AND(CI118&lt;&gt;"",LEFT(CI118,1)&lt;&gt;"#"),IF(LEFT(CI118,1)="-",REPLACE(CI118,1,1,tech!$H$2),CI118),"")</f>
        <v>• education requirements and Prerequisites</v>
      </c>
      <c r="CN118" t="s">
        <v>495</v>
      </c>
      <c r="CO118" s="492"/>
      <c r="CP118" t="str">
        <f t="shared" si="189"/>
        <v>Timely communication of important information</v>
      </c>
      <c r="CQ118" t="str">
        <f t="shared" si="172"/>
        <v>Assessment</v>
      </c>
      <c r="CR118" t="str">
        <f t="shared" si="157"/>
        <v>4.3.4.AX</v>
      </c>
      <c r="CS118" t="str">
        <f>IF(AND(CO118&lt;&gt;"",LEFT(CO118,1)&lt;&gt;"#"),IF(LEFT(CO118,1)="-",REPLACE(CO118,1,1,tech!$H$2),CO118),"")</f>
        <v/>
      </c>
      <c r="CT118" t="s">
        <v>495</v>
      </c>
    </row>
    <row r="119" spans="3:98" x14ac:dyDescent="0.25">
      <c r="C119" s="492"/>
      <c r="D119" t="str">
        <f t="shared" si="173"/>
        <v>Optimized</v>
      </c>
      <c r="E119" t="str">
        <f t="shared" si="174"/>
        <v>Associated risks</v>
      </c>
      <c r="F119" t="str">
        <f>_xlfn.CONCAT(VLOOKUP(D119,tech!$A$13:$B$17,2,0),LEFT(E119,1),IF(G119="","X","Y"))</f>
        <v>5AX</v>
      </c>
      <c r="G119" t="str">
        <f>IF(IF(LEFT(C119,1)="-",C119,"")="","",REPLACE(IF(LEFT(C119,1)="-",C119,""),1,1,tech!$H$2))</f>
        <v/>
      </c>
      <c r="H119" t="s">
        <v>495</v>
      </c>
      <c r="I119" s="492"/>
      <c r="J119" t="str">
        <f t="shared" si="175"/>
        <v>Architecture and design of the PKI</v>
      </c>
      <c r="K119" t="str">
        <f t="shared" si="158"/>
        <v>References</v>
      </c>
      <c r="L119" t="str">
        <f t="shared" si="129"/>
        <v>1.1.4.RX</v>
      </c>
      <c r="M119" t="str">
        <f>IF(AND(I119&lt;&gt;"",LEFT(I119,1)&lt;&gt;"#"),IF(LEFT(I119,1)="-",REPLACE(I119,1,1,tech!$H$2),I119),"")</f>
        <v/>
      </c>
      <c r="N119" t="s">
        <v>495</v>
      </c>
      <c r="O119" s="492" t="s">
        <v>568</v>
      </c>
      <c r="P119" t="str">
        <f t="shared" si="176"/>
        <v>Disclosure statement is documented and published</v>
      </c>
      <c r="Q119" t="str">
        <f t="shared" si="159"/>
        <v>Guidance</v>
      </c>
      <c r="R119" t="str">
        <f t="shared" si="131"/>
        <v>1.2.4.GY</v>
      </c>
      <c r="S119" t="str">
        <f>IF(AND(O119&lt;&gt;"",LEFT(O119,1)&lt;&gt;"#"),IF(LEFT(O119,1)="-",REPLACE(O119,1,1,tech!$H$2),O119),"")</f>
        <v>The purpose of a DS is to provide transparency to relying parties, allowing them to assess the trustworthiness and reliability of the CA before relying on its certificates.</v>
      </c>
      <c r="T119" t="s">
        <v>495</v>
      </c>
      <c r="U119" s="492"/>
      <c r="V119" t="str">
        <f t="shared" si="177"/>
        <v>List of relevant laws, regulations, and standards, exist and is maintained</v>
      </c>
      <c r="W119" t="str">
        <f t="shared" si="160"/>
        <v>References</v>
      </c>
      <c r="X119" t="str">
        <f t="shared" si="133"/>
        <v>1.3.4.RX</v>
      </c>
      <c r="Y119" t="str">
        <f>IF(AND(U119&lt;&gt;"",LEFT(U119,1)&lt;&gt;"#"),IF(LEFT(U119,1)="-",REPLACE(U119,1,1,tech!$H$2),U119),"")</f>
        <v/>
      </c>
      <c r="Z119" t="s">
        <v>495</v>
      </c>
      <c r="AA119" s="492" t="s">
        <v>686</v>
      </c>
      <c r="AB119" t="str">
        <f t="shared" si="178"/>
        <v>Processes and procedures are reviewed and updated</v>
      </c>
      <c r="AC119" t="str">
        <f t="shared" si="161"/>
        <v>Assessment</v>
      </c>
      <c r="AD119" t="str">
        <f t="shared" si="135"/>
        <v>1.4.5.AY</v>
      </c>
      <c r="AE119" t="str">
        <f>IF(AND(AA119&lt;&gt;"",LEFT(AA119,1)&lt;&gt;"#"),IF(LEFT(AA119,1)="-",REPLACE(AA119,1,1,tech!$H$2),AA119),"")</f>
        <v>• Interview with the PKI management and staff</v>
      </c>
      <c r="AF119" t="s">
        <v>495</v>
      </c>
      <c r="AG119" s="492" t="s">
        <v>715</v>
      </c>
      <c r="AH119" t="str">
        <f t="shared" si="179"/>
        <v>Each cryptographic key is defined and has documented lifecycle procedures</v>
      </c>
      <c r="AI119" t="str">
        <f t="shared" si="162"/>
        <v>References</v>
      </c>
      <c r="AJ119" t="str">
        <f t="shared" si="137"/>
        <v>2.1.4.RY</v>
      </c>
      <c r="AK119" t="str">
        <f>IF(AND(AG119&lt;&gt;"",LEFT(AG119,1)&lt;&gt;"#"),IF(LEFT(AG119,1)="-",REPLACE(AG119,1,1,tech!$H$2),AG119),"")</f>
        <v>• [ISO/IEC 11770 Key Management](https://www.iso.org/standard/53456.html)</v>
      </c>
      <c r="AL119" t="s">
        <v>495</v>
      </c>
      <c r="AM119" s="492" t="s">
        <v>879</v>
      </c>
      <c r="AN119" t="str">
        <f t="shared" si="180"/>
        <v>Certificate lifecycle management is documented</v>
      </c>
      <c r="AO119" t="str">
        <f t="shared" si="163"/>
        <v>References</v>
      </c>
      <c r="AP119" t="str">
        <f t="shared" si="139"/>
        <v>2.2.3.RY</v>
      </c>
      <c r="AQ119" t="str">
        <f>IF(AND(AM119&lt;&gt;"",LEFT(AM119,1)&lt;&gt;"#"),IF(LEFT(AM119,1)="-",REPLACE(AM119,1,1,tech!$H$2),AM119),"")</f>
        <v>* [3GPP 33.310 - Network Domain Security (NDS); Authentication Framework (AF)](https://portal.3gpp.org/desktopmodules/Specifications/SpecificationDetails.aspx?specificationId2293)</v>
      </c>
      <c r="AR119" t="s">
        <v>495</v>
      </c>
      <c r="AS119" s="492" t="s">
        <v>503</v>
      </c>
      <c r="AT119" t="str">
        <f t="shared" si="181"/>
        <v>Infrastructure recovery objectives controls</v>
      </c>
      <c r="AU119" t="str">
        <f t="shared" si="164"/>
        <v>References</v>
      </c>
      <c r="AV119" t="str">
        <f t="shared" si="141"/>
        <v>2.3.4.RX</v>
      </c>
      <c r="AW119" t="str">
        <f>IF(AND(AS119&lt;&gt;"",LEFT(AS119,1)&lt;&gt;"#"),IF(LEFT(AS119,1)="-",REPLACE(AS119,1,1,tech!$H$2),AS119),"")</f>
        <v/>
      </c>
      <c r="AX119" t="s">
        <v>495</v>
      </c>
      <c r="AY119" s="492" t="s">
        <v>1007</v>
      </c>
      <c r="AZ119" t="str">
        <f t="shared" si="182"/>
        <v>Requirements for agility are identified</v>
      </c>
      <c r="BA119" t="str">
        <f t="shared" si="165"/>
        <v>Assessment</v>
      </c>
      <c r="BB119" t="str">
        <f t="shared" si="143"/>
        <v>2.4.4.AY</v>
      </c>
      <c r="BC119" t="str">
        <f>IF(AND(AY119&lt;&gt;"",LEFT(AY119,1)&lt;&gt;"#"),IF(LEFT(AY119,1)="-",REPLACE(AY119,1,1,tech!$H$2),AY119),"")</f>
        <v>• changes in the operational environment</v>
      </c>
      <c r="BD119" t="s">
        <v>495</v>
      </c>
      <c r="BE119" s="492" t="s">
        <v>1078</v>
      </c>
      <c r="BF119" t="str">
        <f t="shared" si="183"/>
        <v>Technology future proofing</v>
      </c>
      <c r="BG119" t="str">
        <f t="shared" si="166"/>
        <v>Assessment</v>
      </c>
      <c r="BH119" t="str">
        <f t="shared" si="145"/>
        <v>3.1.4.AY</v>
      </c>
      <c r="BI119" t="str">
        <f>IF(AND(BE119&lt;&gt;"",LEFT(BE119,1)&lt;&gt;"#"),IF(LEFT(BE119,1)="-",REPLACE(BE119,1,1,tech!$H$2),BE119),"")</f>
        <v>• Interview with the CTO or CIO</v>
      </c>
      <c r="BJ119" t="s">
        <v>495</v>
      </c>
      <c r="BK119" s="492"/>
      <c r="BL119" t="str">
        <f t="shared" si="184"/>
        <v>Adoption and application of open standards</v>
      </c>
      <c r="BM119" t="str">
        <f t="shared" si="167"/>
        <v>References</v>
      </c>
      <c r="BN119" t="str">
        <f t="shared" si="147"/>
        <v>3.2.3.RX</v>
      </c>
      <c r="BO119" t="str">
        <f>IF(AND(BK119&lt;&gt;"",LEFT(BK119,1)&lt;&gt;"#"),IF(LEFT(BK119,1)="-",REPLACE(BK119,1,1,tech!$H$2),BK119),"")</f>
        <v/>
      </c>
      <c r="BP119" t="s">
        <v>495</v>
      </c>
      <c r="BQ119" s="492"/>
      <c r="BR119" t="str">
        <f t="shared" si="185"/>
        <v>Monitoring of operational and security events is implemented</v>
      </c>
      <c r="BS119" t="str">
        <f t="shared" si="168"/>
        <v>Assessment</v>
      </c>
      <c r="BT119" t="str">
        <f t="shared" si="149"/>
        <v>3.3.4.AX</v>
      </c>
      <c r="BU119" t="str">
        <f>IF(AND(BQ119&lt;&gt;"",LEFT(BQ119,1)&lt;&gt;"#"),IF(LEFT(BQ119,1)="-",REPLACE(BQ119,1,1,tech!$H$2),BQ119),"")</f>
        <v/>
      </c>
      <c r="BV119" t="s">
        <v>495</v>
      </c>
      <c r="BW119" s="492"/>
      <c r="BX119" t="str">
        <f t="shared" si="186"/>
        <v>Incidents and exceptions handling</v>
      </c>
      <c r="BY119" t="str">
        <f t="shared" si="169"/>
        <v>References</v>
      </c>
      <c r="BZ119" t="str">
        <f t="shared" si="151"/>
        <v>3.4.3.RX</v>
      </c>
      <c r="CA119" t="str">
        <f>IF(AND(BW119&lt;&gt;"",LEFT(BW119,1)&lt;&gt;"#"),IF(LEFT(BW119,1)="-",REPLACE(BW119,1,1,tech!$H$2),BW119),"")</f>
        <v/>
      </c>
      <c r="CB119" t="s">
        <v>495</v>
      </c>
      <c r="CC119" s="492"/>
      <c r="CD119" t="str">
        <f t="shared" si="187"/>
        <v>Resources are periodically reviewed</v>
      </c>
      <c r="CE119" t="str">
        <f t="shared" si="170"/>
        <v>References</v>
      </c>
      <c r="CF119" t="str">
        <f t="shared" si="153"/>
        <v>4.1.4.RX</v>
      </c>
      <c r="CG119" t="str">
        <f>IF(AND(CC119&lt;&gt;"",LEFT(CC119,1)&lt;&gt;"#"),IF(LEFT(CC119,1)="-",REPLACE(CC119,1,1,tech!$H$2),CC119),"")</f>
        <v/>
      </c>
      <c r="CH119" t="s">
        <v>495</v>
      </c>
      <c r="CI119" s="492" t="s">
        <v>1352</v>
      </c>
      <c r="CJ119" t="str">
        <f t="shared" si="188"/>
        <v>Establish education plan</v>
      </c>
      <c r="CK119" t="str">
        <f t="shared" si="171"/>
        <v>Guidance</v>
      </c>
      <c r="CL119" t="str">
        <f t="shared" si="155"/>
        <v>4.2.4.GY</v>
      </c>
      <c r="CM119" t="str">
        <f>IF(AND(CI119&lt;&gt;"",LEFT(CI119,1)&lt;&gt;"#"),IF(LEFT(CI119,1)="-",REPLACE(CI119,1,1,tech!$H$2),CI119),"")</f>
        <v>• Recommended education Approach and methods</v>
      </c>
      <c r="CN119" t="s">
        <v>495</v>
      </c>
      <c r="CO119" s="492" t="s">
        <v>503</v>
      </c>
      <c r="CP119" t="str">
        <f t="shared" si="189"/>
        <v>Timely communication of important information</v>
      </c>
      <c r="CQ119" t="str">
        <f t="shared" si="172"/>
        <v>References</v>
      </c>
      <c r="CR119" t="str">
        <f t="shared" si="157"/>
        <v>4.3.4.RX</v>
      </c>
      <c r="CS119" t="str">
        <f>IF(AND(CO119&lt;&gt;"",LEFT(CO119,1)&lt;&gt;"#"),IF(LEFT(CO119,1)="-",REPLACE(CO119,1,1,tech!$H$2),CO119),"")</f>
        <v/>
      </c>
      <c r="CT119" t="s">
        <v>495</v>
      </c>
    </row>
    <row r="120" spans="3:98" x14ac:dyDescent="0.25">
      <c r="C120" s="492"/>
      <c r="D120" t="str">
        <f t="shared" si="173"/>
        <v>Optimized</v>
      </c>
      <c r="E120" t="str">
        <f t="shared" si="174"/>
        <v>Associated risks</v>
      </c>
      <c r="F120" t="str">
        <f>_xlfn.CONCAT(VLOOKUP(D120,tech!$A$13:$B$17,2,0),LEFT(E120,1),IF(G120="","X","Y"))</f>
        <v>5AX</v>
      </c>
      <c r="G120" t="str">
        <f>IF(IF(LEFT(C120,1)="-",C120,"")="","",REPLACE(IF(LEFT(C120,1)="-",C120,""),1,1,tech!$H$2))</f>
        <v/>
      </c>
      <c r="H120" t="s">
        <v>495</v>
      </c>
      <c r="I120" s="492"/>
      <c r="J120" t="str">
        <f t="shared" si="175"/>
        <v>Architecture and design of the PKI</v>
      </c>
      <c r="K120" t="str">
        <f t="shared" si="158"/>
        <v>References</v>
      </c>
      <c r="L120" t="str">
        <f t="shared" si="129"/>
        <v>1.1.4.RX</v>
      </c>
      <c r="M120" t="str">
        <f>IF(AND(I120&lt;&gt;"",LEFT(I120,1)&lt;&gt;"#"),IF(LEFT(I120,1)="-",REPLACE(I120,1,1,tech!$H$2),I120),"")</f>
        <v/>
      </c>
      <c r="N120" t="s">
        <v>495</v>
      </c>
      <c r="O120" s="492"/>
      <c r="P120" t="str">
        <f t="shared" si="176"/>
        <v>Disclosure statement is documented and published</v>
      </c>
      <c r="Q120" t="str">
        <f t="shared" si="159"/>
        <v>Guidance</v>
      </c>
      <c r="R120" t="str">
        <f t="shared" si="131"/>
        <v>1.2.4.GX</v>
      </c>
      <c r="S120" t="str">
        <f>IF(AND(O120&lt;&gt;"",LEFT(O120,1)&lt;&gt;"#"),IF(LEFT(O120,1)="-",REPLACE(O120,1,1,tech!$H$2),O120),"")</f>
        <v/>
      </c>
      <c r="T120" t="s">
        <v>495</v>
      </c>
      <c r="U120" s="492"/>
      <c r="V120" t="str">
        <f t="shared" si="177"/>
        <v>List of relevant laws, regulations, and standards, exist and is maintained</v>
      </c>
      <c r="W120" t="str">
        <f t="shared" si="160"/>
        <v>References</v>
      </c>
      <c r="X120" t="str">
        <f t="shared" si="133"/>
        <v>1.3.4.RX</v>
      </c>
      <c r="Y120" t="str">
        <f>IF(AND(U120&lt;&gt;"",LEFT(U120,1)&lt;&gt;"#"),IF(LEFT(U120,1)="-",REPLACE(U120,1,1,tech!$H$2),U120),"")</f>
        <v/>
      </c>
      <c r="Z120" t="s">
        <v>495</v>
      </c>
      <c r="AA120" s="492"/>
      <c r="AB120" t="str">
        <f t="shared" si="178"/>
        <v>Processes and procedures are reviewed and updated</v>
      </c>
      <c r="AC120" t="str">
        <f t="shared" si="161"/>
        <v>Assessment</v>
      </c>
      <c r="AD120" t="str">
        <f t="shared" si="135"/>
        <v>1.4.5.AX</v>
      </c>
      <c r="AE120" t="str">
        <f>IF(AND(AA120&lt;&gt;"",LEFT(AA120,1)&lt;&gt;"#"),IF(LEFT(AA120,1)="-",REPLACE(AA120,1,1,tech!$H$2),AA120),"")</f>
        <v/>
      </c>
      <c r="AF120" t="s">
        <v>495</v>
      </c>
      <c r="AG120" s="492"/>
      <c r="AH120" t="str">
        <f t="shared" si="179"/>
        <v>Each cryptographic key is defined and has documented lifecycle procedures</v>
      </c>
      <c r="AI120" t="str">
        <f t="shared" si="162"/>
        <v>References</v>
      </c>
      <c r="AJ120" t="str">
        <f t="shared" si="137"/>
        <v>2.1.4.RX</v>
      </c>
      <c r="AK120" t="str">
        <f>IF(AND(AG120&lt;&gt;"",LEFT(AG120,1)&lt;&gt;"#"),IF(LEFT(AG120,1)="-",REPLACE(AG120,1,1,tech!$H$2),AG120),"")</f>
        <v/>
      </c>
      <c r="AL120" t="s">
        <v>495</v>
      </c>
      <c r="AM120" s="492" t="s">
        <v>798</v>
      </c>
      <c r="AN120" t="str">
        <f t="shared" si="180"/>
        <v>Certificate lifecycle management is documented</v>
      </c>
      <c r="AO120" t="str">
        <f t="shared" si="163"/>
        <v>References</v>
      </c>
      <c r="AP120" t="str">
        <f t="shared" si="139"/>
        <v>2.2.3.RY</v>
      </c>
      <c r="AQ120" t="str">
        <f>IF(AND(AM120&lt;&gt;"",LEFT(AM120,1)&lt;&gt;"#"),IF(LEFT(AM120,1)="-",REPLACE(AM120,1,1,tech!$H$2),AM120),"")</f>
        <v>* [UNISIG SUBSET-137](https://www.era.europa.eu/system/files/2022-11/index083_-_subset-137_v100.pdf)</v>
      </c>
      <c r="AR120" t="s">
        <v>495</v>
      </c>
      <c r="AS120" s="492"/>
      <c r="AT120" t="str">
        <f t="shared" si="181"/>
        <v>Infrastructure recovery objectives controls</v>
      </c>
      <c r="AU120" t="str">
        <f t="shared" si="164"/>
        <v>References</v>
      </c>
      <c r="AV120" t="str">
        <f t="shared" si="141"/>
        <v>2.3.4.RX</v>
      </c>
      <c r="AW120" t="str">
        <f>IF(AND(AS120&lt;&gt;"",LEFT(AS120,1)&lt;&gt;"#"),IF(LEFT(AS120,1)="-",REPLACE(AS120,1,1,tech!$H$2),AS120),"")</f>
        <v/>
      </c>
      <c r="AX120" t="s">
        <v>495</v>
      </c>
      <c r="AY120" s="492" t="s">
        <v>1008</v>
      </c>
      <c r="AZ120" t="str">
        <f t="shared" si="182"/>
        <v>Requirements for agility are identified</v>
      </c>
      <c r="BA120" t="str">
        <f t="shared" si="165"/>
        <v>Assessment</v>
      </c>
      <c r="BB120" t="str">
        <f t="shared" si="143"/>
        <v>2.4.4.AY</v>
      </c>
      <c r="BC120" t="str">
        <f>IF(AND(AY120&lt;&gt;"",LEFT(AY120,1)&lt;&gt;"#"),IF(LEFT(AY120,1)="-",REPLACE(AY120,1,1,tech!$H$2),AY120),"")</f>
        <v>• changes in the technologies</v>
      </c>
      <c r="BD120" t="s">
        <v>495</v>
      </c>
      <c r="BE120" s="492" t="s">
        <v>1079</v>
      </c>
      <c r="BF120" t="str">
        <f t="shared" si="183"/>
        <v>Technology future proofing</v>
      </c>
      <c r="BG120" t="str">
        <f t="shared" si="166"/>
        <v>Assessment</v>
      </c>
      <c r="BH120" t="str">
        <f t="shared" si="145"/>
        <v>3.1.4.AY</v>
      </c>
      <c r="BI120" t="str">
        <f>IF(AND(BE120&lt;&gt;"",LEFT(BE120,1)&lt;&gt;"#"),IF(LEFT(BE120,1)="-",REPLACE(BE120,1,1,tech!$H$2),BE120),"")</f>
        <v>• documentation of the Technology future proofing</v>
      </c>
      <c r="BJ120" t="s">
        <v>495</v>
      </c>
      <c r="BK120" s="492"/>
      <c r="BL120" t="str">
        <f t="shared" si="184"/>
        <v>Adoption and application of open standards</v>
      </c>
      <c r="BM120" t="str">
        <f t="shared" si="167"/>
        <v>References</v>
      </c>
      <c r="BN120" t="str">
        <f t="shared" si="147"/>
        <v>3.2.3.RX</v>
      </c>
      <c r="BO120" t="str">
        <f>IF(AND(BK120&lt;&gt;"",LEFT(BK120,1)&lt;&gt;"#"),IF(LEFT(BK120,1)="-",REPLACE(BK120,1,1,tech!$H$2),BK120),"")</f>
        <v/>
      </c>
      <c r="BP120" t="s">
        <v>495</v>
      </c>
      <c r="BQ120" s="492" t="s">
        <v>1200</v>
      </c>
      <c r="BR120" t="str">
        <f t="shared" si="185"/>
        <v>Monitoring of operational and security events is implemented</v>
      </c>
      <c r="BS120" t="str">
        <f t="shared" si="168"/>
        <v>Assessment</v>
      </c>
      <c r="BT120" t="str">
        <f t="shared" si="149"/>
        <v>3.3.4.AY</v>
      </c>
      <c r="BU120" t="str">
        <f>IF(AND(BQ120&lt;&gt;"",LEFT(BQ120,1)&lt;&gt;"#"),IF(LEFT(BQ120,1)="-",REPLACE(BQ120,1,1,tech!$H$2),BQ120),"")</f>
        <v>• Monitoring of operational and Security events is implemented according to the requirements</v>
      </c>
      <c r="BV120" t="s">
        <v>495</v>
      </c>
      <c r="BW120" s="492"/>
      <c r="BX120" t="str">
        <f t="shared" si="186"/>
        <v>Incidents and exceptions handling</v>
      </c>
      <c r="BY120" t="str">
        <f t="shared" si="169"/>
        <v>References</v>
      </c>
      <c r="BZ120" t="str">
        <f t="shared" si="151"/>
        <v>3.4.3.RX</v>
      </c>
      <c r="CA120" t="str">
        <f>IF(AND(BW120&lt;&gt;"",LEFT(BW120,1)&lt;&gt;"#"),IF(LEFT(BW120,1)="-",REPLACE(BW120,1,1,tech!$H$2),BW120),"")</f>
        <v/>
      </c>
      <c r="CB120" t="s">
        <v>495</v>
      </c>
      <c r="CC120" s="492"/>
      <c r="CD120" t="str">
        <f t="shared" si="187"/>
        <v>Resources are periodically reviewed</v>
      </c>
      <c r="CE120" t="str">
        <f t="shared" si="170"/>
        <v>References</v>
      </c>
      <c r="CF120" t="str">
        <f t="shared" si="153"/>
        <v>4.1.4.RX</v>
      </c>
      <c r="CG120" t="str">
        <f>IF(AND(CC120&lt;&gt;"",LEFT(CC120,1)&lt;&gt;"#"),IF(LEFT(CC120,1)="-",REPLACE(CC120,1,1,tech!$H$2),CC120),"")</f>
        <v/>
      </c>
      <c r="CH120" t="s">
        <v>495</v>
      </c>
      <c r="CI120" s="492" t="s">
        <v>1353</v>
      </c>
      <c r="CJ120" t="str">
        <f t="shared" si="188"/>
        <v>Establish education plan</v>
      </c>
      <c r="CK120" t="str">
        <f t="shared" si="171"/>
        <v>Guidance</v>
      </c>
      <c r="CL120" t="str">
        <f t="shared" si="155"/>
        <v>4.2.4.GY</v>
      </c>
      <c r="CM120" t="str">
        <f>IF(AND(CI120&lt;&gt;"",LEFT(CI120,1)&lt;&gt;"#"),IF(LEFT(CI120,1)="-",REPLACE(CI120,1,1,tech!$H$2),CI120),"")</f>
        <v>• Approach to Monitor and assess the education Results</v>
      </c>
      <c r="CN120" t="s">
        <v>495</v>
      </c>
      <c r="CO120" s="492"/>
      <c r="CP120" t="str">
        <f t="shared" si="189"/>
        <v>Timely communication of important information</v>
      </c>
      <c r="CQ120" t="str">
        <f t="shared" si="172"/>
        <v>References</v>
      </c>
      <c r="CR120" t="str">
        <f t="shared" si="157"/>
        <v>4.3.4.RX</v>
      </c>
      <c r="CS120" t="str">
        <f>IF(AND(CO120&lt;&gt;"",LEFT(CO120,1)&lt;&gt;"#"),IF(LEFT(CO120,1)="-",REPLACE(CO120,1,1,tech!$H$2),CO120),"")</f>
        <v/>
      </c>
      <c r="CT120" t="s">
        <v>495</v>
      </c>
    </row>
    <row r="121" spans="3:98" x14ac:dyDescent="0.25">
      <c r="C121" s="492"/>
      <c r="D121" t="str">
        <f t="shared" si="173"/>
        <v>Optimized</v>
      </c>
      <c r="E121" t="str">
        <f t="shared" si="174"/>
        <v>Associated risks</v>
      </c>
      <c r="F121" t="str">
        <f>_xlfn.CONCAT(VLOOKUP(D121,tech!$A$13:$B$17,2,0),LEFT(E121,1),IF(G121="","X","Y"))</f>
        <v>5AX</v>
      </c>
      <c r="G121" t="str">
        <f>IF(IF(LEFT(C121,1)="-",C121,"")="","",REPLACE(IF(LEFT(C121,1)="-",C121,""),1,1,tech!$H$2))</f>
        <v/>
      </c>
      <c r="H121" t="s">
        <v>495</v>
      </c>
      <c r="I121" s="492"/>
      <c r="J121" t="str">
        <f t="shared" si="175"/>
        <v>Architecture and design of the PKI</v>
      </c>
      <c r="K121" t="str">
        <f t="shared" si="158"/>
        <v>References</v>
      </c>
      <c r="L121" t="str">
        <f t="shared" si="129"/>
        <v>1.1.4.RX</v>
      </c>
      <c r="M121" t="str">
        <f>IF(AND(I121&lt;&gt;"",LEFT(I121,1)&lt;&gt;"#"),IF(LEFT(I121,1)="-",REPLACE(I121,1,1,tech!$H$2),I121),"")</f>
        <v/>
      </c>
      <c r="N121" t="s">
        <v>495</v>
      </c>
      <c r="O121" s="492" t="s">
        <v>501</v>
      </c>
      <c r="P121" t="str">
        <f t="shared" si="176"/>
        <v>Disclosure statement is documented and published</v>
      </c>
      <c r="Q121" t="str">
        <f t="shared" si="159"/>
        <v>Assessment</v>
      </c>
      <c r="R121" t="str">
        <f t="shared" si="131"/>
        <v>1.2.4.AX</v>
      </c>
      <c r="S121" t="str">
        <f>IF(AND(O121&lt;&gt;"",LEFT(O121,1)&lt;&gt;"#"),IF(LEFT(O121,1)="-",REPLACE(O121,1,1,tech!$H$2),O121),"")</f>
        <v/>
      </c>
      <c r="T121" t="s">
        <v>495</v>
      </c>
      <c r="U121" s="492"/>
      <c r="V121" t="str">
        <f t="shared" si="177"/>
        <v>List of relevant laws, regulations, and standards, exist and is maintained</v>
      </c>
      <c r="W121" t="str">
        <f t="shared" si="160"/>
        <v>References</v>
      </c>
      <c r="X121" t="str">
        <f t="shared" si="133"/>
        <v>1.3.4.RX</v>
      </c>
      <c r="Y121" t="str">
        <f>IF(AND(U121&lt;&gt;"",LEFT(U121,1)&lt;&gt;"#"),IF(LEFT(U121,1)="-",REPLACE(U121,1,1,tech!$H$2),U121),"")</f>
        <v/>
      </c>
      <c r="Z121" t="s">
        <v>495</v>
      </c>
      <c r="AA121" s="492" t="s">
        <v>503</v>
      </c>
      <c r="AB121" t="str">
        <f t="shared" si="178"/>
        <v>Processes and procedures are reviewed and updated</v>
      </c>
      <c r="AC121" t="str">
        <f t="shared" si="161"/>
        <v>References</v>
      </c>
      <c r="AD121" t="str">
        <f t="shared" si="135"/>
        <v>1.4.5.RX</v>
      </c>
      <c r="AE121" t="str">
        <f>IF(AND(AA121&lt;&gt;"",LEFT(AA121,1)&lt;&gt;"#"),IF(LEFT(AA121,1)="-",REPLACE(AA121,1,1,tech!$H$2),AA121),"")</f>
        <v/>
      </c>
      <c r="AF121" t="s">
        <v>495</v>
      </c>
      <c r="AG121" s="492" t="s">
        <v>725</v>
      </c>
      <c r="AH121" t="str">
        <f t="shared" si="179"/>
        <v>Cryptographic cipher suites and protocols are documented and maintained</v>
      </c>
      <c r="AI121" t="str">
        <f t="shared" si="162"/>
        <v>References</v>
      </c>
      <c r="AJ121" t="str">
        <f t="shared" si="137"/>
        <v>2.1.5.RX</v>
      </c>
      <c r="AK121" t="str">
        <f>IF(AND(AG121&lt;&gt;"",LEFT(AG121,1)&lt;&gt;"#"),IF(LEFT(AG121,1)="-",REPLACE(AG121,1,1,tech!$H$2),AG121),"")</f>
        <v/>
      </c>
      <c r="AL121" t="s">
        <v>495</v>
      </c>
      <c r="AM121" s="492"/>
      <c r="AN121" t="str">
        <f t="shared" si="180"/>
        <v>Certificate lifecycle management is documented</v>
      </c>
      <c r="AO121" t="str">
        <f t="shared" si="163"/>
        <v>References</v>
      </c>
      <c r="AP121" t="str">
        <f t="shared" si="139"/>
        <v>2.2.3.RX</v>
      </c>
      <c r="AQ121" t="str">
        <f>IF(AND(AM121&lt;&gt;"",LEFT(AM121,1)&lt;&gt;"#"),IF(LEFT(AM121,1)="-",REPLACE(AM121,1,1,tech!$H$2),AM121),"")</f>
        <v/>
      </c>
      <c r="AR121" t="s">
        <v>495</v>
      </c>
      <c r="AS121" s="492" t="s">
        <v>896</v>
      </c>
      <c r="AT121" t="str">
        <f t="shared" si="181"/>
        <v>Infrastructure recovery objectives controls</v>
      </c>
      <c r="AU121" t="str">
        <f t="shared" si="164"/>
        <v>References</v>
      </c>
      <c r="AV121" t="str">
        <f t="shared" si="141"/>
        <v>2.3.4.RY</v>
      </c>
      <c r="AW121" t="str">
        <f>IF(AND(AS121&lt;&gt;"",LEFT(AS121,1)&lt;&gt;"#"),IF(LEFT(AS121,1)="-",REPLACE(AS121,1,1,tech!$H$2),AS121),"")</f>
        <v>• [ISO/IEC 20000 and related standards](https://www.iso.org/standard/70636.html)</v>
      </c>
      <c r="AX121" t="s">
        <v>495</v>
      </c>
      <c r="AY121" s="492" t="s">
        <v>989</v>
      </c>
      <c r="AZ121" t="str">
        <f t="shared" si="182"/>
        <v>Requirements for agility are identified</v>
      </c>
      <c r="BA121" t="str">
        <f t="shared" si="165"/>
        <v>Assessment</v>
      </c>
      <c r="BB121" t="str">
        <f t="shared" si="143"/>
        <v>2.4.4.AY</v>
      </c>
      <c r="BC121" t="str">
        <f>IF(AND(AY121&lt;&gt;"",LEFT(AY121,1)&lt;&gt;"#"),IF(LEFT(AY121,1)="-",REPLACE(AY121,1,1,tech!$H$2),AY121),"")</f>
        <v>• and other relevant evidence</v>
      </c>
      <c r="BD121" t="s">
        <v>495</v>
      </c>
      <c r="BE121" s="492" t="s">
        <v>1080</v>
      </c>
      <c r="BF121" t="str">
        <f t="shared" si="183"/>
        <v>Technology future proofing</v>
      </c>
      <c r="BG121" t="str">
        <f t="shared" si="166"/>
        <v>Assessment</v>
      </c>
      <c r="BH121" t="str">
        <f t="shared" si="145"/>
        <v>3.1.4.AY</v>
      </c>
      <c r="BI121" t="str">
        <f>IF(AND(BE121&lt;&gt;"",LEFT(BE121,1)&lt;&gt;"#"),IF(LEFT(BE121,1)="-",REPLACE(BE121,1,1,tech!$H$2),BE121),"")</f>
        <v>• RFI and RFP documents</v>
      </c>
      <c r="BJ121" t="s">
        <v>495</v>
      </c>
      <c r="BK121" s="492"/>
      <c r="BL121" t="str">
        <f t="shared" si="184"/>
        <v>Adoption and application of open standards</v>
      </c>
      <c r="BM121" t="str">
        <f t="shared" si="167"/>
        <v>References</v>
      </c>
      <c r="BN121" t="str">
        <f t="shared" si="147"/>
        <v>3.2.3.RX</v>
      </c>
      <c r="BO121" t="str">
        <f>IF(AND(BK121&lt;&gt;"",LEFT(BK121,1)&lt;&gt;"#"),IF(LEFT(BK121,1)="-",REPLACE(BK121,1,1,tech!$H$2),BK121),"")</f>
        <v/>
      </c>
      <c r="BP121" t="s">
        <v>495</v>
      </c>
      <c r="BQ121" s="492" t="s">
        <v>1163</v>
      </c>
      <c r="BR121" t="str">
        <f t="shared" si="185"/>
        <v>Monitoring of operational and security events is implemented</v>
      </c>
      <c r="BS121" t="str">
        <f t="shared" si="168"/>
        <v>Assessment</v>
      </c>
      <c r="BT121" t="str">
        <f t="shared" si="149"/>
        <v>3.3.4.AY</v>
      </c>
      <c r="BU121" t="str">
        <f>IF(AND(BQ121&lt;&gt;"",LEFT(BQ121,1)&lt;&gt;"#"),IF(LEFT(BQ121,1)="-",REPLACE(BQ121,1,1,tech!$H$2),BQ121),"")</f>
        <v>• Review of monitoring implementation, including CA key life cycle management related events, security sensitive events, and other relevant events</v>
      </c>
      <c r="BV121" t="s">
        <v>495</v>
      </c>
      <c r="BW121" s="492"/>
      <c r="BX121" t="str">
        <f t="shared" si="186"/>
        <v>Incidents and exceptions handling</v>
      </c>
      <c r="BY121" t="str">
        <f t="shared" si="169"/>
        <v>References</v>
      </c>
      <c r="BZ121" t="str">
        <f t="shared" si="151"/>
        <v>3.4.3.RX</v>
      </c>
      <c r="CA121" t="str">
        <f>IF(AND(BW121&lt;&gt;"",LEFT(BW121,1)&lt;&gt;"#"),IF(LEFT(BW121,1)="-",REPLACE(BW121,1,1,tech!$H$2),BW121),"")</f>
        <v/>
      </c>
      <c r="CB121" t="s">
        <v>495</v>
      </c>
      <c r="CC121" s="492"/>
      <c r="CD121" t="str">
        <f t="shared" si="187"/>
        <v>Resources are periodically reviewed</v>
      </c>
      <c r="CE121" t="str">
        <f t="shared" si="170"/>
        <v>References</v>
      </c>
      <c r="CF121" t="str">
        <f t="shared" si="153"/>
        <v>4.1.4.RX</v>
      </c>
      <c r="CG121" t="str">
        <f>IF(AND(CC121&lt;&gt;"",LEFT(CC121,1)&lt;&gt;"#"),IF(LEFT(CC121,1)="-",REPLACE(CC121,1,1,tech!$H$2),CC121),"")</f>
        <v/>
      </c>
      <c r="CH121" t="s">
        <v>495</v>
      </c>
      <c r="CI121" s="492"/>
      <c r="CJ121" t="str">
        <f t="shared" si="188"/>
        <v>Establish education plan</v>
      </c>
      <c r="CK121" t="str">
        <f t="shared" si="171"/>
        <v>Guidance</v>
      </c>
      <c r="CL121" t="str">
        <f t="shared" si="155"/>
        <v>4.2.4.GY</v>
      </c>
      <c r="CM121" t="str">
        <f>IF(AND(CI121&lt;&gt;"",LEFT(CI121,1)&lt;&gt;"#"),IF(LEFT(CI121,1)="-",REPLACE(CI121,1,1,tech!$H$2),CI121),"")</f>
        <v/>
      </c>
      <c r="CN121" t="s">
        <v>495</v>
      </c>
      <c r="CO121" s="492" t="s">
        <v>1369</v>
      </c>
      <c r="CP121" t="str">
        <f t="shared" si="189"/>
        <v>Timely communication of important information</v>
      </c>
      <c r="CQ121" t="str">
        <f t="shared" si="172"/>
        <v>References</v>
      </c>
      <c r="CR121" t="str">
        <f t="shared" si="157"/>
        <v>4.3.4.RY</v>
      </c>
      <c r="CS121" t="str">
        <f>IF(AND(CO121&lt;&gt;"",LEFT(CO121,1)&lt;&gt;"#"),IF(LEFT(CO121,1)="-",REPLACE(CO121,1,1,tech!$H$2),CO121),"")</f>
        <v>• [RFC 3647 Internet X.509 Public Key Infrastructure Certificate Policy and Certification Practices Framework](https://datatracker.ietf.org/doc/html/rfc3647)</v>
      </c>
      <c r="CT121" t="s">
        <v>495</v>
      </c>
    </row>
    <row r="122" spans="3:98" x14ac:dyDescent="0.25">
      <c r="C122" s="492"/>
      <c r="D122" t="str">
        <f t="shared" si="173"/>
        <v>Optimized</v>
      </c>
      <c r="E122" t="str">
        <f t="shared" si="174"/>
        <v>Associated risks</v>
      </c>
      <c r="F122" t="str">
        <f>_xlfn.CONCAT(VLOOKUP(D122,tech!$A$13:$B$17,2,0),LEFT(E122,1),IF(G122="","X","Y"))</f>
        <v>5AX</v>
      </c>
      <c r="G122" t="str">
        <f>IF(IF(LEFT(C122,1)="-",C122,"")="","",REPLACE(IF(LEFT(C122,1)="-",C122,""),1,1,tech!$H$2))</f>
        <v/>
      </c>
      <c r="H122" t="s">
        <v>495</v>
      </c>
      <c r="I122" s="492"/>
      <c r="J122" t="str">
        <f t="shared" si="175"/>
        <v>Architecture and design of the PKI</v>
      </c>
      <c r="K122" t="str">
        <f t="shared" si="158"/>
        <v>References</v>
      </c>
      <c r="L122" t="str">
        <f t="shared" si="129"/>
        <v>1.1.4.RX</v>
      </c>
      <c r="M122" t="str">
        <f>IF(AND(I122&lt;&gt;"",LEFT(I122,1)&lt;&gt;"#"),IF(LEFT(I122,1)="-",REPLACE(I122,1,1,tech!$H$2),I122),"")</f>
        <v/>
      </c>
      <c r="N122" t="s">
        <v>495</v>
      </c>
      <c r="O122" s="492"/>
      <c r="P122" t="str">
        <f t="shared" si="176"/>
        <v>Disclosure statement is documented and published</v>
      </c>
      <c r="Q122" t="str">
        <f t="shared" si="159"/>
        <v>Assessment</v>
      </c>
      <c r="R122" t="str">
        <f t="shared" si="131"/>
        <v>1.2.4.AX</v>
      </c>
      <c r="S122" t="str">
        <f>IF(AND(O122&lt;&gt;"",LEFT(O122,1)&lt;&gt;"#"),IF(LEFT(O122,1)="-",REPLACE(O122,1,1,tech!$H$2),O122),"")</f>
        <v/>
      </c>
      <c r="T122" t="s">
        <v>495</v>
      </c>
      <c r="U122" s="492"/>
      <c r="V122" t="str">
        <f t="shared" si="177"/>
        <v>List of relevant laws, regulations, and standards, exist and is maintained</v>
      </c>
      <c r="W122" t="str">
        <f t="shared" si="160"/>
        <v>References</v>
      </c>
      <c r="X122" t="str">
        <f t="shared" si="133"/>
        <v>1.3.4.RX</v>
      </c>
      <c r="Y122" t="str">
        <f>IF(AND(U122&lt;&gt;"",LEFT(U122,1)&lt;&gt;"#"),IF(LEFT(U122,1)="-",REPLACE(U122,1,1,tech!$H$2),U122),"")</f>
        <v/>
      </c>
      <c r="Z122" t="s">
        <v>495</v>
      </c>
      <c r="AA122" s="492"/>
      <c r="AB122" t="str">
        <f t="shared" si="178"/>
        <v>Processes and procedures are reviewed and updated</v>
      </c>
      <c r="AC122" t="str">
        <f t="shared" si="161"/>
        <v>References</v>
      </c>
      <c r="AD122" t="str">
        <f t="shared" si="135"/>
        <v>1.4.5.RX</v>
      </c>
      <c r="AE122" t="str">
        <f>IF(AND(AA122&lt;&gt;"",LEFT(AA122,1)&lt;&gt;"#"),IF(LEFT(AA122,1)="-",REPLACE(AA122,1,1,tech!$H$2),AA122),"")</f>
        <v/>
      </c>
      <c r="AF122" t="s">
        <v>495</v>
      </c>
      <c r="AG122" s="492"/>
      <c r="AH122" t="str">
        <f t="shared" si="179"/>
        <v>Cryptographic cipher suites and protocols are documented and maintained</v>
      </c>
      <c r="AI122" t="str">
        <f t="shared" si="162"/>
        <v>References</v>
      </c>
      <c r="AJ122" t="str">
        <f t="shared" si="137"/>
        <v>2.1.5.RX</v>
      </c>
      <c r="AK122" t="str">
        <f>IF(AND(AG122&lt;&gt;"",LEFT(AG122,1)&lt;&gt;"#"),IF(LEFT(AG122,1)="-",REPLACE(AG122,1,1,tech!$H$2),AG122),"")</f>
        <v/>
      </c>
      <c r="AL122" t="s">
        <v>495</v>
      </c>
      <c r="AM122" s="492" t="s">
        <v>846</v>
      </c>
      <c r="AN122" t="str">
        <f t="shared" si="180"/>
        <v>Inventory of issued certificates is documented</v>
      </c>
      <c r="AO122" t="str">
        <f t="shared" si="163"/>
        <v>References</v>
      </c>
      <c r="AP122" t="str">
        <f t="shared" si="139"/>
        <v>2.2.4.RX</v>
      </c>
      <c r="AQ122" t="str">
        <f>IF(AND(AM122&lt;&gt;"",LEFT(AM122,1)&lt;&gt;"#"),IF(LEFT(AM122,1)="-",REPLACE(AM122,1,1,tech!$H$2),AM122),"")</f>
        <v/>
      </c>
      <c r="AR122" t="s">
        <v>495</v>
      </c>
      <c r="AS122" s="492" t="s">
        <v>504</v>
      </c>
      <c r="AT122" t="str">
        <f t="shared" si="181"/>
        <v>Infrastructure recovery objectives controls</v>
      </c>
      <c r="AU122" t="str">
        <f t="shared" si="164"/>
        <v>References</v>
      </c>
      <c r="AV122" t="str">
        <f t="shared" si="141"/>
        <v>2.3.4.RY</v>
      </c>
      <c r="AW122" t="str">
        <f>IF(AND(AS122&lt;&gt;"",LEFT(AS122,1)&lt;&gt;"#"),IF(LEFT(AS122,1)="-",REPLACE(AS122,1,1,tech!$H$2),AS122),"")</f>
        <v>• [ISO/IEC 27001 - Information security management systems](https://www.iso.org/standard/54534.html)</v>
      </c>
      <c r="AX122" t="s">
        <v>495</v>
      </c>
      <c r="AY122" s="492"/>
      <c r="AZ122" t="str">
        <f t="shared" si="182"/>
        <v>Requirements for agility are identified</v>
      </c>
      <c r="BA122" t="str">
        <f t="shared" si="165"/>
        <v>Assessment</v>
      </c>
      <c r="BB122" t="str">
        <f t="shared" si="143"/>
        <v>2.4.4.AX</v>
      </c>
      <c r="BC122" t="str">
        <f>IF(AND(AY122&lt;&gt;"",LEFT(AY122,1)&lt;&gt;"#"),IF(LEFT(AY122,1)="-",REPLACE(AY122,1,1,tech!$H$2),AY122),"")</f>
        <v/>
      </c>
      <c r="BD122" t="s">
        <v>495</v>
      </c>
      <c r="BE122" s="492" t="s">
        <v>1081</v>
      </c>
      <c r="BF122" t="str">
        <f t="shared" si="183"/>
        <v>Technology future proofing</v>
      </c>
      <c r="BG122" t="str">
        <f t="shared" si="166"/>
        <v>Assessment</v>
      </c>
      <c r="BH122" t="str">
        <f t="shared" si="145"/>
        <v>3.1.4.AY</v>
      </c>
      <c r="BI122" t="str">
        <f>IF(AND(BE122&lt;&gt;"",LEFT(BE122,1)&lt;&gt;"#"),IF(LEFT(BE122,1)="-",REPLACE(BE122,1,1,tech!$H$2),BE122),"")</f>
        <v>• Vendor and Technology check</v>
      </c>
      <c r="BJ122" t="s">
        <v>495</v>
      </c>
      <c r="BK122" s="492"/>
      <c r="BL122" t="str">
        <f t="shared" si="184"/>
        <v>Adoption and application of open standards</v>
      </c>
      <c r="BM122" t="str">
        <f t="shared" si="167"/>
        <v>References</v>
      </c>
      <c r="BN122" t="str">
        <f t="shared" si="147"/>
        <v>3.2.3.RX</v>
      </c>
      <c r="BO122" t="str">
        <f>IF(AND(BK122&lt;&gt;"",LEFT(BK122,1)&lt;&gt;"#"),IF(LEFT(BK122,1)="-",REPLACE(BK122,1,1,tech!$H$2),BK122),"")</f>
        <v/>
      </c>
      <c r="BP122" t="s">
        <v>495</v>
      </c>
      <c r="BQ122" s="492" t="s">
        <v>1201</v>
      </c>
      <c r="BR122" t="str">
        <f t="shared" si="185"/>
        <v>Monitoring of operational and security events is implemented</v>
      </c>
      <c r="BS122" t="str">
        <f t="shared" si="168"/>
        <v>Assessment</v>
      </c>
      <c r="BT122" t="str">
        <f t="shared" si="149"/>
        <v>3.3.4.AY</v>
      </c>
      <c r="BU122" t="str">
        <f>IF(AND(BQ122&lt;&gt;"",LEFT(BQ122,1)&lt;&gt;"#"),IF(LEFT(BQ122,1)="-",REPLACE(BQ122,1,1,tech!$H$2),BQ122),"")</f>
        <v>• Review of Monitoring events and alerts</v>
      </c>
      <c r="BV122" t="s">
        <v>495</v>
      </c>
      <c r="BW122" s="492"/>
      <c r="BX122" t="str">
        <f t="shared" si="186"/>
        <v>Incidents and exceptions handling</v>
      </c>
      <c r="BY122" t="str">
        <f t="shared" si="169"/>
        <v>References</v>
      </c>
      <c r="BZ122" t="str">
        <f t="shared" si="151"/>
        <v>3.4.3.RX</v>
      </c>
      <c r="CA122" t="str">
        <f>IF(AND(BW122&lt;&gt;"",LEFT(BW122,1)&lt;&gt;"#"),IF(LEFT(BW122,1)="-",REPLACE(BW122,1,1,tech!$H$2),BW122),"")</f>
        <v/>
      </c>
      <c r="CB122" t="s">
        <v>495</v>
      </c>
      <c r="CC122" s="492"/>
      <c r="CD122" t="str">
        <f t="shared" si="187"/>
        <v>Resources are periodically reviewed</v>
      </c>
      <c r="CE122" t="str">
        <f t="shared" si="170"/>
        <v>References</v>
      </c>
      <c r="CF122" t="str">
        <f t="shared" si="153"/>
        <v>4.1.4.RX</v>
      </c>
      <c r="CG122" t="str">
        <f>IF(AND(CC122&lt;&gt;"",LEFT(CC122,1)&lt;&gt;"#"),IF(LEFT(CC122,1)="-",REPLACE(CC122,1,1,tech!$H$2),CC122),"")</f>
        <v/>
      </c>
      <c r="CH122" t="s">
        <v>495</v>
      </c>
      <c r="CI122" s="492" t="s">
        <v>1313</v>
      </c>
      <c r="CJ122" t="str">
        <f t="shared" si="188"/>
        <v>Establish education plan</v>
      </c>
      <c r="CK122" t="str">
        <f t="shared" si="171"/>
        <v>Guidance</v>
      </c>
      <c r="CL122" t="str">
        <f t="shared" si="155"/>
        <v>4.2.4.GY</v>
      </c>
      <c r="CM122" t="str">
        <f>IF(AND(CI122&lt;&gt;"",LEFT(CI122,1)&lt;&gt;"#"),IF(LEFT(CI122,1)="-",REPLACE(CI122,1,1,tech!$H$2),CI122),"")</f>
        <v>Methods to provide education can vary:</v>
      </c>
      <c r="CN122" t="s">
        <v>495</v>
      </c>
      <c r="CO122" s="492" t="s">
        <v>519</v>
      </c>
      <c r="CP122" t="str">
        <f t="shared" si="189"/>
        <v>Timely communication of important information</v>
      </c>
      <c r="CQ122" t="str">
        <f t="shared" si="172"/>
        <v>References</v>
      </c>
      <c r="CR122" t="str">
        <f t="shared" si="157"/>
        <v>4.3.4.RY</v>
      </c>
      <c r="CS122" t="str">
        <f>IF(AND(CO122&lt;&gt;"",LEFT(CO122,1)&lt;&gt;"#"),IF(LEFT(CO122,1)="-",REPLACE(CO122,1,1,tech!$H$2),CO122),"")</f>
        <v>• [ETSI EN 319 401 - General Policy Requirements for Trust Service Providers](https://www.etsi.org/deliver/etsi_en/319400_319499/319401/02.03.01_60/en_319401v020301p.pdf)</v>
      </c>
      <c r="CT122" t="s">
        <v>495</v>
      </c>
    </row>
    <row r="123" spans="3:98" x14ac:dyDescent="0.25">
      <c r="C123" s="492"/>
      <c r="D123" t="str">
        <f t="shared" si="173"/>
        <v>Optimized</v>
      </c>
      <c r="E123" t="str">
        <f t="shared" si="174"/>
        <v>Associated risks</v>
      </c>
      <c r="F123" t="str">
        <f>_xlfn.CONCAT(VLOOKUP(D123,tech!$A$13:$B$17,2,0),LEFT(E123,1),IF(G123="","X","Y"))</f>
        <v>5AX</v>
      </c>
      <c r="G123" t="str">
        <f>IF(IF(LEFT(C123,1)="-",C123,"")="","",REPLACE(IF(LEFT(C123,1)="-",C123,""),1,1,tech!$H$2))</f>
        <v/>
      </c>
      <c r="H123" t="s">
        <v>495</v>
      </c>
      <c r="I123" s="492"/>
      <c r="J123" t="str">
        <f t="shared" si="175"/>
        <v>Architecture and design of the PKI</v>
      </c>
      <c r="K123" t="str">
        <f t="shared" si="158"/>
        <v>References</v>
      </c>
      <c r="L123" t="str">
        <f t="shared" si="129"/>
        <v>1.1.4.RX</v>
      </c>
      <c r="M123" t="str">
        <f>IF(AND(I123&lt;&gt;"",LEFT(I123,1)&lt;&gt;"#"),IF(LEFT(I123,1)="-",REPLACE(I123,1,1,tech!$H$2),I123),"")</f>
        <v/>
      </c>
      <c r="N123" t="s">
        <v>495</v>
      </c>
      <c r="O123" s="492" t="s">
        <v>591</v>
      </c>
      <c r="P123" t="str">
        <f t="shared" si="176"/>
        <v>Disclosure statement is documented and published</v>
      </c>
      <c r="Q123" t="str">
        <f t="shared" si="159"/>
        <v>Assessment</v>
      </c>
      <c r="R123" t="str">
        <f t="shared" si="131"/>
        <v>1.2.4.AY</v>
      </c>
      <c r="S123" t="str">
        <f>IF(AND(O123&lt;&gt;"",LEFT(O123,1)&lt;&gt;"#"),IF(LEFT(O123,1)="-",REPLACE(O123,1,1,tech!$H$2),O123),"")</f>
        <v>• the DS is properly Documented in its full scope</v>
      </c>
      <c r="T123" t="s">
        <v>495</v>
      </c>
      <c r="U123" s="492"/>
      <c r="V123" t="str">
        <f t="shared" si="177"/>
        <v>List of relevant laws, regulations, and standards, exist and is maintained</v>
      </c>
      <c r="W123" t="str">
        <f t="shared" si="160"/>
        <v>References</v>
      </c>
      <c r="X123" t="str">
        <f t="shared" si="133"/>
        <v>1.3.4.RX</v>
      </c>
      <c r="Y123" t="str">
        <f>IF(AND(U123&lt;&gt;"",LEFT(U123,1)&lt;&gt;"#"),IF(LEFT(U123,1)="-",REPLACE(U123,1,1,tech!$H$2),U123),"")</f>
        <v/>
      </c>
      <c r="Z123" t="s">
        <v>495</v>
      </c>
      <c r="AA123" s="492" t="s">
        <v>504</v>
      </c>
      <c r="AB123" t="str">
        <f t="shared" si="178"/>
        <v>Processes and procedures are reviewed and updated</v>
      </c>
      <c r="AC123" t="str">
        <f t="shared" si="161"/>
        <v>References</v>
      </c>
      <c r="AD123" t="str">
        <f t="shared" si="135"/>
        <v>1.4.5.RY</v>
      </c>
      <c r="AE123" t="str">
        <f>IF(AND(AA123&lt;&gt;"",LEFT(AA123,1)&lt;&gt;"#"),IF(LEFT(AA123,1)="-",REPLACE(AA123,1,1,tech!$H$2),AA123),"")</f>
        <v>• [ISO/IEC 27001 - Information security management systems](https://www.iso.org/standard/54534.html)</v>
      </c>
      <c r="AF123" t="s">
        <v>495</v>
      </c>
      <c r="AG123" s="492" t="s">
        <v>498</v>
      </c>
      <c r="AH123" t="str">
        <f t="shared" si="179"/>
        <v>Cryptographic cipher suites and protocols are documented and maintained</v>
      </c>
      <c r="AI123" t="str">
        <f t="shared" si="162"/>
        <v>Guidance</v>
      </c>
      <c r="AJ123" t="str">
        <f t="shared" si="137"/>
        <v>2.1.5.GX</v>
      </c>
      <c r="AK123" t="str">
        <f>IF(AND(AG123&lt;&gt;"",LEFT(AG123,1)&lt;&gt;"#"),IF(LEFT(AG123,1)="-",REPLACE(AG123,1,1,tech!$H$2),AG123),"")</f>
        <v/>
      </c>
      <c r="AL123" t="s">
        <v>495</v>
      </c>
      <c r="AM123" s="492"/>
      <c r="AN123" t="str">
        <f t="shared" si="180"/>
        <v>Inventory of issued certificates is documented</v>
      </c>
      <c r="AO123" t="str">
        <f t="shared" si="163"/>
        <v>References</v>
      </c>
      <c r="AP123" t="str">
        <f t="shared" si="139"/>
        <v>2.2.4.RX</v>
      </c>
      <c r="AQ123" t="str">
        <f>IF(AND(AM123&lt;&gt;"",LEFT(AM123,1)&lt;&gt;"#"),IF(LEFT(AM123,1)="-",REPLACE(AM123,1,1,tech!$H$2),AM123),"")</f>
        <v/>
      </c>
      <c r="AR123" t="s">
        <v>495</v>
      </c>
      <c r="AS123" s="492"/>
      <c r="AT123" t="str">
        <f t="shared" si="181"/>
        <v>Infrastructure recovery objectives controls</v>
      </c>
      <c r="AU123" t="str">
        <f t="shared" si="164"/>
        <v>References</v>
      </c>
      <c r="AV123" t="str">
        <f t="shared" si="141"/>
        <v>2.3.4.RX</v>
      </c>
      <c r="AW123" t="str">
        <f>IF(AND(AS123&lt;&gt;"",LEFT(AS123,1)&lt;&gt;"#"),IF(LEFT(AS123,1)="-",REPLACE(AS123,1,1,tech!$H$2),AS123),"")</f>
        <v/>
      </c>
      <c r="AX123" t="s">
        <v>495</v>
      </c>
      <c r="AY123" s="492" t="s">
        <v>503</v>
      </c>
      <c r="AZ123" t="str">
        <f t="shared" si="182"/>
        <v>Requirements for agility are identified</v>
      </c>
      <c r="BA123" t="str">
        <f t="shared" si="165"/>
        <v>References</v>
      </c>
      <c r="BB123" t="str">
        <f t="shared" si="143"/>
        <v>2.4.4.RX</v>
      </c>
      <c r="BC123" t="str">
        <f>IF(AND(AY123&lt;&gt;"",LEFT(AY123,1)&lt;&gt;"#"),IF(LEFT(AY123,1)="-",REPLACE(AY123,1,1,tech!$H$2),AY123),"")</f>
        <v/>
      </c>
      <c r="BD123" t="s">
        <v>495</v>
      </c>
      <c r="BE123" s="492"/>
      <c r="BF123" t="str">
        <f t="shared" si="183"/>
        <v>Technology future proofing</v>
      </c>
      <c r="BG123" t="str">
        <f t="shared" si="166"/>
        <v>Assessment</v>
      </c>
      <c r="BH123" t="str">
        <f t="shared" si="145"/>
        <v>3.1.4.AX</v>
      </c>
      <c r="BI123" t="str">
        <f>IF(AND(BE123&lt;&gt;"",LEFT(BE123,1)&lt;&gt;"#"),IF(LEFT(BE123,1)="-",REPLACE(BE123,1,1,tech!$H$2),BE123),"")</f>
        <v/>
      </c>
      <c r="BJ123" t="s">
        <v>495</v>
      </c>
      <c r="BK123" s="492"/>
      <c r="BL123" t="str">
        <f t="shared" si="184"/>
        <v>Adoption and application of open standards</v>
      </c>
      <c r="BM123" t="str">
        <f t="shared" si="167"/>
        <v>References</v>
      </c>
      <c r="BN123" t="str">
        <f t="shared" si="147"/>
        <v>3.2.3.RX</v>
      </c>
      <c r="BO123" t="str">
        <f>IF(AND(BK123&lt;&gt;"",LEFT(BK123,1)&lt;&gt;"#"),IF(LEFT(BK123,1)="-",REPLACE(BK123,1,1,tech!$H$2),BK123),"")</f>
        <v/>
      </c>
      <c r="BP123" t="s">
        <v>495</v>
      </c>
      <c r="BQ123" s="492" t="s">
        <v>1202</v>
      </c>
      <c r="BR123" t="str">
        <f t="shared" si="185"/>
        <v>Monitoring of operational and security events is implemented</v>
      </c>
      <c r="BS123" t="str">
        <f t="shared" si="168"/>
        <v>Assessment</v>
      </c>
      <c r="BT123" t="str">
        <f t="shared" si="149"/>
        <v>3.3.4.AY</v>
      </c>
      <c r="BU123" t="str">
        <f>IF(AND(BQ123&lt;&gt;"",LEFT(BQ123,1)&lt;&gt;"#"),IF(LEFT(BQ123,1)="-",REPLACE(BQ123,1,1,tech!$H$2),BQ123),"")</f>
        <v>• Interviews with personnel responsible for Monitoring</v>
      </c>
      <c r="BV123" t="s">
        <v>495</v>
      </c>
      <c r="BW123" s="492"/>
      <c r="BX123" t="str">
        <f t="shared" si="186"/>
        <v>Incidents and exceptions handling</v>
      </c>
      <c r="BY123" t="str">
        <f t="shared" si="169"/>
        <v>References</v>
      </c>
      <c r="BZ123" t="str">
        <f t="shared" si="151"/>
        <v>3.4.3.RX</v>
      </c>
      <c r="CA123" t="str">
        <f>IF(AND(BW123&lt;&gt;"",LEFT(BW123,1)&lt;&gt;"#"),IF(LEFT(BW123,1)="-",REPLACE(BW123,1,1,tech!$H$2),BW123),"")</f>
        <v/>
      </c>
      <c r="CB123" t="s">
        <v>495</v>
      </c>
      <c r="CC123" s="492"/>
      <c r="CD123" t="str">
        <f t="shared" si="187"/>
        <v>Resources are periodically reviewed</v>
      </c>
      <c r="CE123" t="str">
        <f t="shared" si="170"/>
        <v>References</v>
      </c>
      <c r="CF123" t="str">
        <f t="shared" si="153"/>
        <v>4.1.4.RX</v>
      </c>
      <c r="CG123" t="str">
        <f>IF(AND(CC123&lt;&gt;"",LEFT(CC123,1)&lt;&gt;"#"),IF(LEFT(CC123,1)="-",REPLACE(CC123,1,1,tech!$H$2),CC123),"")</f>
        <v/>
      </c>
      <c r="CH123" t="s">
        <v>495</v>
      </c>
      <c r="CI123" s="492" t="s">
        <v>1354</v>
      </c>
      <c r="CJ123" t="str">
        <f t="shared" si="188"/>
        <v>Establish education plan</v>
      </c>
      <c r="CK123" t="str">
        <f t="shared" si="171"/>
        <v>Guidance</v>
      </c>
      <c r="CL123" t="str">
        <f t="shared" si="155"/>
        <v>4.2.4.GY</v>
      </c>
      <c r="CM123" t="str">
        <f>IF(AND(CI123&lt;&gt;"",LEFT(CI123,1)&lt;&gt;"#"),IF(LEFT(CI123,1)="-",REPLACE(CI123,1,1,tech!$H$2),CI123),"")</f>
        <v>• internal or external courses</v>
      </c>
      <c r="CN123" t="s">
        <v>495</v>
      </c>
      <c r="CO123" s="492"/>
      <c r="CP123" t="str">
        <f t="shared" si="189"/>
        <v>Timely communication of important information</v>
      </c>
      <c r="CQ123" t="str">
        <f t="shared" si="172"/>
        <v>References</v>
      </c>
      <c r="CR123" t="str">
        <f t="shared" si="157"/>
        <v>4.3.4.RX</v>
      </c>
      <c r="CS123" t="str">
        <f>IF(AND(CO123&lt;&gt;"",LEFT(CO123,1)&lt;&gt;"#"),IF(LEFT(CO123,1)="-",REPLACE(CO123,1,1,tech!$H$2),CO123),"")</f>
        <v/>
      </c>
      <c r="CT123" t="s">
        <v>495</v>
      </c>
    </row>
    <row r="124" spans="3:98" x14ac:dyDescent="0.25">
      <c r="C124" s="492"/>
      <c r="D124" t="str">
        <f t="shared" ref="D124:D148" si="190">IF(AND(LEFT(C124,1)="#",IFERROR(LEN(_xlfn.TEXTBEFORE(C124," "))=2,0)),_xlfn.TEXTBEFORE(_xlfn.TEXTAFTER(C124," ")," "),D123)</f>
        <v>Optimized</v>
      </c>
      <c r="E124" t="str">
        <f t="shared" ref="E124:E148" si="191">IF(AND(LEFT(C124,1)="#",IFERROR(LEN(_xlfn.TEXTBEFORE(C124," "))=3,0)),_xlfn.TEXTAFTER(C124," "),E123)</f>
        <v>Associated risks</v>
      </c>
      <c r="F124" t="str">
        <f>_xlfn.CONCAT(VLOOKUP(D124,tech!$A$13:$B$17,2,0),LEFT(E124,1),IF(G124="","X","Y"))</f>
        <v>5AX</v>
      </c>
      <c r="G124" t="str">
        <f>IF(IF(LEFT(C124,1)="-",C124,"")="","",REPLACE(IF(LEFT(C124,1)="-",C124,""),1,1,tech!$H$2))</f>
        <v/>
      </c>
      <c r="H124" t="s">
        <v>495</v>
      </c>
      <c r="I124" s="492"/>
      <c r="J124" t="str">
        <f t="shared" si="175"/>
        <v>Architecture and design of the PKI</v>
      </c>
      <c r="K124" t="str">
        <f t="shared" si="158"/>
        <v>References</v>
      </c>
      <c r="L124" t="str">
        <f t="shared" si="129"/>
        <v>1.1.4.RX</v>
      </c>
      <c r="M124" t="str">
        <f>IF(AND(I124&lt;&gt;"",LEFT(I124,1)&lt;&gt;"#"),IF(LEFT(I124,1)="-",REPLACE(I124,1,1,tech!$H$2),I124),"")</f>
        <v/>
      </c>
      <c r="N124" t="s">
        <v>495</v>
      </c>
      <c r="O124" s="492" t="s">
        <v>592</v>
      </c>
      <c r="P124" t="str">
        <f t="shared" si="176"/>
        <v>Disclosure statement is documented and published</v>
      </c>
      <c r="Q124" t="str">
        <f t="shared" si="159"/>
        <v>Assessment</v>
      </c>
      <c r="R124" t="str">
        <f t="shared" si="131"/>
        <v>1.2.4.AY</v>
      </c>
      <c r="S124" t="str">
        <f>IF(AND(O124&lt;&gt;"",LEFT(O124,1)&lt;&gt;"#"),IF(LEFT(O124,1)="-",REPLACE(O124,1,1,tech!$H$2),O124),"")</f>
        <v>• DS is published and available to all parties involved</v>
      </c>
      <c r="T124" t="s">
        <v>495</v>
      </c>
      <c r="U124" s="492"/>
      <c r="V124" t="str">
        <f t="shared" si="177"/>
        <v>List of relevant laws, regulations, and standards, exist and is maintained</v>
      </c>
      <c r="W124" t="str">
        <f t="shared" si="160"/>
        <v>References</v>
      </c>
      <c r="X124" t="str">
        <f t="shared" si="133"/>
        <v>1.3.4.RX</v>
      </c>
      <c r="Y124" t="str">
        <f>IF(AND(U124&lt;&gt;"",LEFT(U124,1)&lt;&gt;"#"),IF(LEFT(U124,1)="-",REPLACE(U124,1,1,tech!$H$2),U124),"")</f>
        <v/>
      </c>
      <c r="Z124" t="s">
        <v>495</v>
      </c>
      <c r="AA124" s="492" t="s">
        <v>551</v>
      </c>
      <c r="AB124" t="str">
        <f t="shared" si="178"/>
        <v>Processes and procedures are reviewed and updated</v>
      </c>
      <c r="AC124" t="str">
        <f t="shared" si="161"/>
        <v>References</v>
      </c>
      <c r="AD124" t="str">
        <f t="shared" si="135"/>
        <v>1.4.5.RY</v>
      </c>
      <c r="AE124" t="str">
        <f>IF(AND(AA124&lt;&gt;"",LEFT(AA124,1)&lt;&gt;"#"),IF(LEFT(AA124,1)="-",REPLACE(AA124,1,1,tech!$H$2),AA124),"")</f>
        <v>• [RFC 3647 - Internet X.509 Public Key Infrastructure Certificate Policy and Certification Practices Framework](https://tools.ietf.org/html/rfc3647)</v>
      </c>
      <c r="AF124" t="s">
        <v>495</v>
      </c>
      <c r="AG124" s="492"/>
      <c r="AH124" t="str">
        <f t="shared" si="179"/>
        <v>Cryptographic cipher suites and protocols are documented and maintained</v>
      </c>
      <c r="AI124" t="str">
        <f t="shared" si="162"/>
        <v>Guidance</v>
      </c>
      <c r="AJ124" t="str">
        <f t="shared" si="137"/>
        <v>2.1.5.GX</v>
      </c>
      <c r="AK124" t="str">
        <f>IF(AND(AG124&lt;&gt;"",LEFT(AG124,1)&lt;&gt;"#"),IF(LEFT(AG124,1)="-",REPLACE(AG124,1,1,tech!$H$2),AG124),"")</f>
        <v/>
      </c>
      <c r="AL124" t="s">
        <v>495</v>
      </c>
      <c r="AM124" s="492" t="s">
        <v>498</v>
      </c>
      <c r="AN124" t="str">
        <f t="shared" si="180"/>
        <v>Inventory of issued certificates is documented</v>
      </c>
      <c r="AO124" t="str">
        <f t="shared" si="163"/>
        <v>Guidance</v>
      </c>
      <c r="AP124" t="str">
        <f t="shared" si="139"/>
        <v>2.2.4.GX</v>
      </c>
      <c r="AQ124" t="str">
        <f>IF(AND(AM124&lt;&gt;"",LEFT(AM124,1)&lt;&gt;"#"),IF(LEFT(AM124,1)="-",REPLACE(AM124,1,1,tech!$H$2),AM124),"")</f>
        <v/>
      </c>
      <c r="AR124" t="s">
        <v>495</v>
      </c>
      <c r="AS124" s="492" t="s">
        <v>910</v>
      </c>
      <c r="AT124" t="str">
        <f t="shared" si="181"/>
        <v>Infrastructure activities are periodically reviewed</v>
      </c>
      <c r="AU124" t="str">
        <f t="shared" si="164"/>
        <v>References</v>
      </c>
      <c r="AV124" t="str">
        <f t="shared" si="141"/>
        <v>2.3.5.RX</v>
      </c>
      <c r="AW124" t="str">
        <f>IF(AND(AS124&lt;&gt;"",LEFT(AS124,1)&lt;&gt;"#"),IF(LEFT(AS124,1)="-",REPLACE(AS124,1,1,tech!$H$2),AS124),"")</f>
        <v/>
      </c>
      <c r="AX124" t="s">
        <v>495</v>
      </c>
      <c r="AY124" s="492"/>
      <c r="AZ124" t="str">
        <f t="shared" si="182"/>
        <v>Requirements for agility are identified</v>
      </c>
      <c r="BA124" t="str">
        <f t="shared" si="165"/>
        <v>References</v>
      </c>
      <c r="BB124" t="str">
        <f t="shared" si="143"/>
        <v>2.4.4.RX</v>
      </c>
      <c r="BC124" t="str">
        <f>IF(AND(AY124&lt;&gt;"",LEFT(AY124,1)&lt;&gt;"#"),IF(LEFT(AY124,1)="-",REPLACE(AY124,1,1,tech!$H$2),AY124),"")</f>
        <v/>
      </c>
      <c r="BD124" t="s">
        <v>495</v>
      </c>
      <c r="BE124" s="492" t="s">
        <v>503</v>
      </c>
      <c r="BF124" t="str">
        <f t="shared" si="183"/>
        <v>Technology future proofing</v>
      </c>
      <c r="BG124" t="str">
        <f t="shared" si="166"/>
        <v>References</v>
      </c>
      <c r="BH124" t="str">
        <f t="shared" si="145"/>
        <v>3.1.4.RX</v>
      </c>
      <c r="BI124" t="str">
        <f>IF(AND(BE124&lt;&gt;"",LEFT(BE124,1)&lt;&gt;"#"),IF(LEFT(BE124,1)="-",REPLACE(BE124,1,1,tech!$H$2),BE124),"")</f>
        <v/>
      </c>
      <c r="BJ124" t="s">
        <v>495</v>
      </c>
      <c r="BK124" s="492"/>
      <c r="BL124" t="str">
        <f t="shared" si="184"/>
        <v>Adoption and application of open standards</v>
      </c>
      <c r="BM124" t="str">
        <f t="shared" si="167"/>
        <v>References</v>
      </c>
      <c r="BN124" t="str">
        <f t="shared" si="147"/>
        <v>3.2.3.RX</v>
      </c>
      <c r="BO124" t="str">
        <f>IF(AND(BK124&lt;&gt;"",LEFT(BK124,1)&lt;&gt;"#"),IF(LEFT(BK124,1)="-",REPLACE(BK124,1,1,tech!$H$2),BK124),"")</f>
        <v/>
      </c>
      <c r="BP124" t="s">
        <v>495</v>
      </c>
      <c r="BQ124" s="492"/>
      <c r="BR124" t="str">
        <f t="shared" si="185"/>
        <v>Monitoring of operational and security events is implemented</v>
      </c>
      <c r="BS124" t="str">
        <f t="shared" si="168"/>
        <v>Assessment</v>
      </c>
      <c r="BT124" t="str">
        <f t="shared" si="149"/>
        <v>3.3.4.AX</v>
      </c>
      <c r="BU124" t="str">
        <f>IF(AND(BQ124&lt;&gt;"",LEFT(BQ124,1)&lt;&gt;"#"),IF(LEFT(BQ124,1)="-",REPLACE(BQ124,1,1,tech!$H$2),BQ124),"")</f>
        <v/>
      </c>
      <c r="BV124" t="s">
        <v>495</v>
      </c>
      <c r="BW124" s="492"/>
      <c r="BX124" t="str">
        <f t="shared" si="186"/>
        <v>Incidents and exceptions handling</v>
      </c>
      <c r="BY124" t="str">
        <f t="shared" si="169"/>
        <v>References</v>
      </c>
      <c r="BZ124" t="str">
        <f t="shared" si="151"/>
        <v>3.4.3.RX</v>
      </c>
      <c r="CA124" t="str">
        <f>IF(AND(BW124&lt;&gt;"",LEFT(BW124,1)&lt;&gt;"#"),IF(LEFT(BW124,1)="-",REPLACE(BW124,1,1,tech!$H$2),BW124),"")</f>
        <v/>
      </c>
      <c r="CB124" t="s">
        <v>495</v>
      </c>
      <c r="CC124" s="492"/>
      <c r="CD124" t="str">
        <f t="shared" si="187"/>
        <v>Resources are periodically reviewed</v>
      </c>
      <c r="CE124" t="str">
        <f t="shared" si="170"/>
        <v>References</v>
      </c>
      <c r="CF124" t="str">
        <f t="shared" si="153"/>
        <v>4.1.4.RX</v>
      </c>
      <c r="CG124" t="str">
        <f>IF(AND(CC124&lt;&gt;"",LEFT(CC124,1)&lt;&gt;"#"),IF(LEFT(CC124,1)="-",REPLACE(CC124,1,1,tech!$H$2),CC124),"")</f>
        <v/>
      </c>
      <c r="CH124" t="s">
        <v>495</v>
      </c>
      <c r="CI124" s="492" t="s">
        <v>1355</v>
      </c>
      <c r="CJ124" t="str">
        <f t="shared" si="188"/>
        <v>Establish education plan</v>
      </c>
      <c r="CK124" t="str">
        <f t="shared" si="171"/>
        <v>Guidance</v>
      </c>
      <c r="CL124" t="str">
        <f t="shared" si="155"/>
        <v>4.2.4.GY</v>
      </c>
      <c r="CM124" t="str">
        <f>IF(AND(CI124&lt;&gt;"",LEFT(CI124,1)&lt;&gt;"#"),IF(LEFT(CI124,1)="-",REPLACE(CI124,1,1,tech!$H$2),CI124),"")</f>
        <v>• incentives and rewards</v>
      </c>
      <c r="CN124" t="s">
        <v>495</v>
      </c>
      <c r="CO124" s="492"/>
      <c r="CP124" t="str">
        <f t="shared" si="189"/>
        <v>Timely communication of important information</v>
      </c>
      <c r="CQ124" t="str">
        <f t="shared" si="172"/>
        <v>References</v>
      </c>
      <c r="CR124" t="str">
        <f t="shared" si="157"/>
        <v>4.3.4.RX</v>
      </c>
      <c r="CS124" t="str">
        <f>IF(AND(CO124&lt;&gt;"",LEFT(CO124,1)&lt;&gt;"#"),IF(LEFT(CO124,1)="-",REPLACE(CO124,1,1,tech!$H$2),CO124),"")</f>
        <v/>
      </c>
      <c r="CT124" t="s">
        <v>495</v>
      </c>
    </row>
    <row r="125" spans="3:98" x14ac:dyDescent="0.25">
      <c r="C125" s="492"/>
      <c r="D125" t="str">
        <f t="shared" si="190"/>
        <v>Optimized</v>
      </c>
      <c r="E125" t="str">
        <f t="shared" si="191"/>
        <v>Associated risks</v>
      </c>
      <c r="F125" t="str">
        <f>_xlfn.CONCAT(VLOOKUP(D125,tech!$A$13:$B$17,2,0),LEFT(E125,1),IF(G125="","X","Y"))</f>
        <v>5AX</v>
      </c>
      <c r="G125" t="str">
        <f>IF(IF(LEFT(C125,1)="-",C125,"")="","",REPLACE(IF(LEFT(C125,1)="-",C125,""),1,1,tech!$H$2))</f>
        <v/>
      </c>
      <c r="H125" t="s">
        <v>495</v>
      </c>
      <c r="I125" s="492"/>
      <c r="J125" t="str">
        <f t="shared" si="175"/>
        <v>Architecture and design of the PKI</v>
      </c>
      <c r="K125" t="str">
        <f>IF(AND(LEFT(I125,1)="#",IFERROR(LEN(_xlfn.TEXTBEFORE(I125," "))=4,0)),_xlfn.TEXTAFTER(I125," "),K124)</f>
        <v>References</v>
      </c>
      <c r="L125" t="str">
        <f t="shared" si="129"/>
        <v>1.1.4.RX</v>
      </c>
      <c r="M125" t="str">
        <f>IF(AND(I125&lt;&gt;"",LEFT(I125,1)&lt;&gt;"#"),IF(LEFT(I125,1)="-",REPLACE(I125,1,1,tech!$H$2),I125),"")</f>
        <v/>
      </c>
      <c r="N125" t="s">
        <v>495</v>
      </c>
      <c r="O125" s="492" t="s">
        <v>593</v>
      </c>
      <c r="P125" t="str">
        <f t="shared" si="176"/>
        <v>Disclosure statement is documented and published</v>
      </c>
      <c r="Q125" t="str">
        <f>IF(AND(LEFT(O125,1)="#",IFERROR(LEN(_xlfn.TEXTBEFORE(O125," "))=4,0)),_xlfn.TEXTAFTER(O125," "),Q124)</f>
        <v>Assessment</v>
      </c>
      <c r="R125" t="str">
        <f t="shared" si="131"/>
        <v>1.2.4.AY</v>
      </c>
      <c r="S125" t="str">
        <f>IF(AND(O125&lt;&gt;"",LEFT(O125,1)&lt;&gt;"#"),IF(LEFT(O125,1)="-",REPLACE(O125,1,1,tech!$H$2),O125),"")</f>
        <v>• Interview with the management and PKI responsible personnel to confirm the DS is accurate</v>
      </c>
      <c r="T125" t="s">
        <v>495</v>
      </c>
      <c r="U125" s="492"/>
      <c r="V125" t="str">
        <f t="shared" si="177"/>
        <v>List of relevant laws, regulations, and standards, exist and is maintained</v>
      </c>
      <c r="W125" t="str">
        <f>IF(AND(LEFT(U125,1)="#",IFERROR(LEN(_xlfn.TEXTBEFORE(U125," "))=4,0)),_xlfn.TEXTAFTER(U125," "),W124)</f>
        <v>References</v>
      </c>
      <c r="X125" t="str">
        <f t="shared" si="133"/>
        <v>1.3.4.RX</v>
      </c>
      <c r="Y125" t="str">
        <f>IF(AND(U125&lt;&gt;"",LEFT(U125,1)&lt;&gt;"#"),IF(LEFT(U125,1)="-",REPLACE(U125,1,1,tech!$H$2),U125),"")</f>
        <v/>
      </c>
      <c r="Z125" t="s">
        <v>495</v>
      </c>
      <c r="AA125" s="492" t="s">
        <v>668</v>
      </c>
      <c r="AB125" t="str">
        <f t="shared" si="178"/>
        <v>Processes and procedures are reviewed and updated</v>
      </c>
      <c r="AC125" t="str">
        <f>IF(AND(LEFT(AA125,1)="#",IFERROR(LEN(_xlfn.TEXTBEFORE(AA125," "))=4,0)),_xlfn.TEXTAFTER(AA125," "),AC124)</f>
        <v>References</v>
      </c>
      <c r="AD125" t="str">
        <f t="shared" si="135"/>
        <v>1.4.5.RY</v>
      </c>
      <c r="AE125" t="str">
        <f>IF(AND(AA125&lt;&gt;"",LEFT(AA125,1)&lt;&gt;"#"),IF(LEFT(AA125,1)="-",REPLACE(AA125,1,1,tech!$H$2),AA125),"")</f>
        <v>• [ENISA Publications](https://www.enisa.europa.eu/publications)</v>
      </c>
      <c r="AF125" t="s">
        <v>495</v>
      </c>
      <c r="AG125" s="492" t="s">
        <v>726</v>
      </c>
      <c r="AH125" t="str">
        <f t="shared" si="179"/>
        <v>Cryptographic cipher suites and protocols are documented and maintained</v>
      </c>
      <c r="AI125" t="str">
        <f>IF(AND(LEFT(AG125,1)="#",IFERROR(LEN(_xlfn.TEXTBEFORE(AG125," "))=4,0)),_xlfn.TEXTAFTER(AG125," "),AI124)</f>
        <v>Guidance</v>
      </c>
      <c r="AJ125" t="str">
        <f t="shared" si="137"/>
        <v>2.1.5.GY</v>
      </c>
      <c r="AK125" t="str">
        <f>IF(AND(AG125&lt;&gt;"",LEFT(AG125,1)&lt;&gt;"#"),IF(LEFT(AG125,1)="-",REPLACE(AG125,1,1,tech!$H$2),AG125),"")</f>
        <v>Protocols and encryption strengths may quickly change or be deprecated due to identification of vulnerabilities or design flaws. In order to support current and future data security needs, the organization should know where cryptography is used and understand how they would be able to respond rapidly to changes impacting the strength of their cryptographic implementations.</v>
      </c>
      <c r="AL125" t="s">
        <v>495</v>
      </c>
      <c r="AM125" s="492"/>
      <c r="AN125" t="str">
        <f t="shared" si="180"/>
        <v>Inventory of issued certificates is documented</v>
      </c>
      <c r="AO125" t="str">
        <f>IF(AND(LEFT(AM125,1)="#",IFERROR(LEN(_xlfn.TEXTBEFORE(AM125," "))=4,0)),_xlfn.TEXTAFTER(AM125," "),AO124)</f>
        <v>Guidance</v>
      </c>
      <c r="AP125" t="str">
        <f t="shared" si="139"/>
        <v>2.2.4.GX</v>
      </c>
      <c r="AQ125" t="str">
        <f>IF(AND(AM125&lt;&gt;"",LEFT(AM125,1)&lt;&gt;"#"),IF(LEFT(AM125,1)="-",REPLACE(AM125,1,1,tech!$H$2),AM125),"")</f>
        <v/>
      </c>
      <c r="AR125" t="s">
        <v>495</v>
      </c>
      <c r="AS125" s="492"/>
      <c r="AT125" t="str">
        <f t="shared" si="181"/>
        <v>Infrastructure activities are periodically reviewed</v>
      </c>
      <c r="AU125" t="str">
        <f>IF(AND(LEFT(AS125,1)="#",IFERROR(LEN(_xlfn.TEXTBEFORE(AS125," "))=4,0)),_xlfn.TEXTAFTER(AS125," "),AU124)</f>
        <v>References</v>
      </c>
      <c r="AV125" t="str">
        <f t="shared" si="141"/>
        <v>2.3.5.RX</v>
      </c>
      <c r="AW125" t="str">
        <f>IF(AND(AS125&lt;&gt;"",LEFT(AS125,1)&lt;&gt;"#"),IF(LEFT(AS125,1)="-",REPLACE(AS125,1,1,tech!$H$2),AS125),"")</f>
        <v/>
      </c>
      <c r="AX125" t="s">
        <v>495</v>
      </c>
      <c r="AY125" s="492" t="s">
        <v>964</v>
      </c>
      <c r="AZ125" t="str">
        <f t="shared" si="182"/>
        <v>Requirements for agility are identified</v>
      </c>
      <c r="BA125" t="str">
        <f>IF(AND(LEFT(AY125,1)="#",IFERROR(LEN(_xlfn.TEXTBEFORE(AY125," "))=4,0)),_xlfn.TEXTAFTER(AY125," "),BA124)</f>
        <v>References</v>
      </c>
      <c r="BB125" t="str">
        <f t="shared" si="143"/>
        <v>2.4.4.RY</v>
      </c>
      <c r="BC125" t="str">
        <f>IF(AND(AY125&lt;&gt;"",LEFT(AY125,1)&lt;&gt;"#"),IF(LEFT(AY125,1)="-",REPLACE(AY125,1,1,tech!$H$2),AY125),"")</f>
        <v>• [COBIT (Control Objectives for Information and Related Technologies)](https://www.isaca.org/resources/cobit)</v>
      </c>
      <c r="BD125" t="s">
        <v>495</v>
      </c>
      <c r="BE125" s="492"/>
      <c r="BF125" t="str">
        <f t="shared" si="183"/>
        <v>Technology future proofing</v>
      </c>
      <c r="BG125" t="str">
        <f>IF(AND(LEFT(BE125,1)="#",IFERROR(LEN(_xlfn.TEXTBEFORE(BE125," "))=4,0)),_xlfn.TEXTAFTER(BE125," "),BG124)</f>
        <v>References</v>
      </c>
      <c r="BH125" t="str">
        <f t="shared" si="145"/>
        <v>3.1.4.RX</v>
      </c>
      <c r="BI125" t="str">
        <f>IF(AND(BE125&lt;&gt;"",LEFT(BE125,1)&lt;&gt;"#"),IF(LEFT(BE125,1)="-",REPLACE(BE125,1,1,tech!$H$2),BE125),"")</f>
        <v/>
      </c>
      <c r="BJ125" t="s">
        <v>495</v>
      </c>
      <c r="BK125" s="492"/>
      <c r="BL125" t="str">
        <f t="shared" si="184"/>
        <v>Adoption and application of open standards</v>
      </c>
      <c r="BM125" t="str">
        <f>IF(AND(LEFT(BK125,1)="#",IFERROR(LEN(_xlfn.TEXTBEFORE(BK125," "))=4,0)),_xlfn.TEXTAFTER(BK125," "),BM124)</f>
        <v>References</v>
      </c>
      <c r="BN125" t="str">
        <f t="shared" si="147"/>
        <v>3.2.3.RX</v>
      </c>
      <c r="BO125" t="str">
        <f>IF(AND(BK125&lt;&gt;"",LEFT(BK125,1)&lt;&gt;"#"),IF(LEFT(BK125,1)="-",REPLACE(BK125,1,1,tech!$H$2),BK125),"")</f>
        <v/>
      </c>
      <c r="BP125" t="s">
        <v>495</v>
      </c>
      <c r="BQ125" s="492" t="s">
        <v>503</v>
      </c>
      <c r="BR125" t="str">
        <f t="shared" si="185"/>
        <v>Monitoring of operational and security events is implemented</v>
      </c>
      <c r="BS125" t="str">
        <f>IF(AND(LEFT(BQ125,1)="#",IFERROR(LEN(_xlfn.TEXTBEFORE(BQ125," "))=4,0)),_xlfn.TEXTAFTER(BQ125," "),BS124)</f>
        <v>References</v>
      </c>
      <c r="BT125" t="str">
        <f t="shared" si="149"/>
        <v>3.3.4.RX</v>
      </c>
      <c r="BU125" t="str">
        <f>IF(AND(BQ125&lt;&gt;"",LEFT(BQ125,1)&lt;&gt;"#"),IF(LEFT(BQ125,1)="-",REPLACE(BQ125,1,1,tech!$H$2),BQ125),"")</f>
        <v/>
      </c>
      <c r="BV125" t="s">
        <v>495</v>
      </c>
      <c r="BW125" s="492"/>
      <c r="BX125" t="str">
        <f t="shared" si="186"/>
        <v>Incidents and exceptions handling</v>
      </c>
      <c r="BY125" t="str">
        <f>IF(AND(LEFT(BW125,1)="#",IFERROR(LEN(_xlfn.TEXTBEFORE(BW125," "))=4,0)),_xlfn.TEXTAFTER(BW125," "),BY124)</f>
        <v>References</v>
      </c>
      <c r="BZ125" t="str">
        <f t="shared" si="151"/>
        <v>3.4.3.RX</v>
      </c>
      <c r="CA125" t="str">
        <f>IF(AND(BW125&lt;&gt;"",LEFT(BW125,1)&lt;&gt;"#"),IF(LEFT(BW125,1)="-",REPLACE(BW125,1,1,tech!$H$2),BW125),"")</f>
        <v/>
      </c>
      <c r="CB125" t="s">
        <v>495</v>
      </c>
      <c r="CC125" s="492"/>
      <c r="CD125" t="str">
        <f t="shared" si="187"/>
        <v>Resources are periodically reviewed</v>
      </c>
      <c r="CE125" t="str">
        <f>IF(AND(LEFT(CC125,1)="#",IFERROR(LEN(_xlfn.TEXTBEFORE(CC125," "))=4,0)),_xlfn.TEXTAFTER(CC125," "),CE124)</f>
        <v>References</v>
      </c>
      <c r="CF125" t="str">
        <f t="shared" si="153"/>
        <v>4.1.4.RX</v>
      </c>
      <c r="CG125" t="str">
        <f>IF(AND(CC125&lt;&gt;"",LEFT(CC125,1)&lt;&gt;"#"),IF(LEFT(CC125,1)="-",REPLACE(CC125,1,1,tech!$H$2),CC125),"")</f>
        <v/>
      </c>
      <c r="CH125" t="s">
        <v>495</v>
      </c>
      <c r="CI125" s="492" t="s">
        <v>1314</v>
      </c>
      <c r="CJ125" t="str">
        <f t="shared" si="188"/>
        <v>Establish education plan</v>
      </c>
      <c r="CK125" t="str">
        <f>IF(AND(LEFT(CI125,1)="#",IFERROR(LEN(_xlfn.TEXTBEFORE(CI125," "))=4,0)),_xlfn.TEXTAFTER(CI125," "),CK124)</f>
        <v>Guidance</v>
      </c>
      <c r="CL125" t="str">
        <f t="shared" si="155"/>
        <v>4.2.4.GY</v>
      </c>
      <c r="CM125" t="str">
        <f>IF(AND(CI125&lt;&gt;"",LEFT(CI125,1)&lt;&gt;"#"),IF(LEFT(CI125,1)="-",REPLACE(CI125,1,1,tech!$H$2),CI125),"")</f>
        <v>• Mentoring, coaching, and shadowing</v>
      </c>
      <c r="CN125" t="s">
        <v>495</v>
      </c>
      <c r="CO125" s="492"/>
      <c r="CP125" t="str">
        <f t="shared" si="189"/>
        <v>Timely communication of important information</v>
      </c>
      <c r="CQ125" t="str">
        <f>IF(AND(LEFT(CO125,1)="#",IFERROR(LEN(_xlfn.TEXTBEFORE(CO125," "))=4,0)),_xlfn.TEXTAFTER(CO125," "),CQ124)</f>
        <v>References</v>
      </c>
      <c r="CR125" t="str">
        <f t="shared" si="157"/>
        <v>4.3.4.RX</v>
      </c>
      <c r="CS125" t="str">
        <f>IF(AND(CO125&lt;&gt;"",LEFT(CO125,1)&lt;&gt;"#"),IF(LEFT(CO125,1)="-",REPLACE(CO125,1,1,tech!$H$2),CO125),"")</f>
        <v/>
      </c>
      <c r="CT125" t="s">
        <v>495</v>
      </c>
    </row>
    <row r="126" spans="3:98" x14ac:dyDescent="0.25">
      <c r="C126" s="492"/>
      <c r="D126" t="str">
        <f t="shared" si="190"/>
        <v>Optimized</v>
      </c>
      <c r="E126" t="str">
        <f t="shared" si="191"/>
        <v>Associated risks</v>
      </c>
      <c r="F126" t="str">
        <f>_xlfn.CONCAT(VLOOKUP(D126,tech!$A$13:$B$17,2,0),LEFT(E126,1),IF(G126="","X","Y"))</f>
        <v>5AX</v>
      </c>
      <c r="G126" t="str">
        <f>IF(IF(LEFT(C126,1)="-",C126,"")="","",REPLACE(IF(LEFT(C126,1)="-",C126,""),1,1,tech!$H$2))</f>
        <v/>
      </c>
      <c r="H126" t="s">
        <v>495</v>
      </c>
      <c r="I126" s="492"/>
      <c r="J126" t="str">
        <f t="shared" si="175"/>
        <v>Architecture and design of the PKI</v>
      </c>
      <c r="K126" t="str">
        <f t="shared" ref="K126:K148" si="192">IF(AND(LEFT(I126,1)="#",IFERROR(LEN(_xlfn.TEXTBEFORE(I126," "))=4,0)),_xlfn.TEXTAFTER(I126," "),K125)</f>
        <v>References</v>
      </c>
      <c r="L126" t="str">
        <f t="shared" si="129"/>
        <v>1.1.4.RX</v>
      </c>
      <c r="M126" t="str">
        <f>IF(AND(I126&lt;&gt;"",LEFT(I126,1)&lt;&gt;"#"),IF(LEFT(I126,1)="-",REPLACE(I126,1,1,tech!$H$2),I126),"")</f>
        <v/>
      </c>
      <c r="N126" t="s">
        <v>495</v>
      </c>
      <c r="O126" s="492" t="s">
        <v>594</v>
      </c>
      <c r="P126" t="str">
        <f t="shared" si="176"/>
        <v>Disclosure statement is documented and published</v>
      </c>
      <c r="Q126" t="str">
        <f t="shared" ref="Q126:Q148" si="193">IF(AND(LEFT(O126,1)="#",IFERROR(LEN(_xlfn.TEXTBEFORE(O126," "))=4,0)),_xlfn.TEXTAFTER(O126," "),Q125)</f>
        <v>Assessment</v>
      </c>
      <c r="R126" t="str">
        <f t="shared" si="131"/>
        <v>1.2.4.AY</v>
      </c>
      <c r="S126" t="str">
        <f>IF(AND(O126&lt;&gt;"",LEFT(O126,1)&lt;&gt;"#"),IF(LEFT(O126,1)="-",REPLACE(O126,1,1,tech!$H$2),O126),"")</f>
        <v>• confirm that the information in the DS is Consistent with the information in the CP and CPS</v>
      </c>
      <c r="T126" t="s">
        <v>495</v>
      </c>
      <c r="U126" s="492"/>
      <c r="V126" t="str">
        <f t="shared" si="177"/>
        <v>List of relevant laws, regulations, and standards, exist and is maintained</v>
      </c>
      <c r="W126" t="str">
        <f t="shared" ref="W126:W148" si="194">IF(AND(LEFT(U126,1)="#",IFERROR(LEN(_xlfn.TEXTBEFORE(U126," "))=4,0)),_xlfn.TEXTAFTER(U126," "),W125)</f>
        <v>References</v>
      </c>
      <c r="X126" t="str">
        <f t="shared" si="133"/>
        <v>1.3.4.RX</v>
      </c>
      <c r="Y126" t="str">
        <f>IF(AND(U126&lt;&gt;"",LEFT(U126,1)&lt;&gt;"#"),IF(LEFT(U126,1)="-",REPLACE(U126,1,1,tech!$H$2),U126),"")</f>
        <v/>
      </c>
      <c r="Z126" t="s">
        <v>495</v>
      </c>
      <c r="AA126" s="492"/>
      <c r="AB126" t="str">
        <f t="shared" si="178"/>
        <v>Processes and procedures are reviewed and updated</v>
      </c>
      <c r="AC126" t="str">
        <f t="shared" ref="AC126:AC148" si="195">IF(AND(LEFT(AA126,1)="#",IFERROR(LEN(_xlfn.TEXTBEFORE(AA126," "))=4,0)),_xlfn.TEXTAFTER(AA126," "),AC125)</f>
        <v>References</v>
      </c>
      <c r="AD126" t="str">
        <f t="shared" si="135"/>
        <v>1.4.5.RX</v>
      </c>
      <c r="AE126" t="str">
        <f>IF(AND(AA126&lt;&gt;"",LEFT(AA126,1)&lt;&gt;"#"),IF(LEFT(AA126,1)="-",REPLACE(AA126,1,1,tech!$H$2),AA126),"")</f>
        <v/>
      </c>
      <c r="AF126" t="s">
        <v>495</v>
      </c>
      <c r="AG126" s="492"/>
      <c r="AH126" t="str">
        <f t="shared" si="179"/>
        <v>Cryptographic cipher suites and protocols are documented and maintained</v>
      </c>
      <c r="AI126" t="str">
        <f t="shared" ref="AI126:AI148" si="196">IF(AND(LEFT(AG126,1)="#",IFERROR(LEN(_xlfn.TEXTBEFORE(AG126," "))=4,0)),_xlfn.TEXTAFTER(AG126," "),AI125)</f>
        <v>Guidance</v>
      </c>
      <c r="AJ126" t="str">
        <f t="shared" si="137"/>
        <v>2.1.5.GY</v>
      </c>
      <c r="AK126" t="str">
        <f>IF(AND(AG126&lt;&gt;"",LEFT(AG126,1)&lt;&gt;"#"),IF(LEFT(AG126,1)="-",REPLACE(AG126,1,1,tech!$H$2),AG126),"")</f>
        <v/>
      </c>
      <c r="AL126" t="s">
        <v>495</v>
      </c>
      <c r="AM126" s="492" t="s">
        <v>847</v>
      </c>
      <c r="AN126" t="str">
        <f t="shared" si="180"/>
        <v>Inventory of issued certificates is documented</v>
      </c>
      <c r="AO126" t="str">
        <f t="shared" ref="AO126:AO189" si="197">IF(AND(LEFT(AM126,1)="#",IFERROR(LEN(_xlfn.TEXTBEFORE(AM126," "))=4,0)),_xlfn.TEXTAFTER(AM126," "),AO125)</f>
        <v>Guidance</v>
      </c>
      <c r="AP126" t="str">
        <f t="shared" si="139"/>
        <v>2.2.4.GY</v>
      </c>
      <c r="AQ126" t="str">
        <f>IF(AND(AM126&lt;&gt;"",LEFT(AM126,1)&lt;&gt;"#"),IF(LEFT(AM126,1)="-",REPLACE(AM126,1,1,tech!$H$2),AM126),"")</f>
        <v>Certificate inventory consists of all known certificates and provides an overview of known certificates in the organization. Certificates in inventory are subject to certificate lifecycle management. The certificate inventory is important for the organization because:</v>
      </c>
      <c r="AR126" t="s">
        <v>495</v>
      </c>
      <c r="AS126" s="492" t="s">
        <v>498</v>
      </c>
      <c r="AT126" t="str">
        <f t="shared" si="181"/>
        <v>Infrastructure activities are periodically reviewed</v>
      </c>
      <c r="AU126" t="str">
        <f t="shared" ref="AU126:AU189" si="198">IF(AND(LEFT(AS126,1)="#",IFERROR(LEN(_xlfn.TEXTBEFORE(AS126," "))=4,0)),_xlfn.TEXTAFTER(AS126," "),AU125)</f>
        <v>Guidance</v>
      </c>
      <c r="AV126" t="str">
        <f t="shared" si="141"/>
        <v>2.3.5.GX</v>
      </c>
      <c r="AW126" t="str">
        <f>IF(AND(AS126&lt;&gt;"",LEFT(AS126,1)&lt;&gt;"#"),IF(LEFT(AS126,1)="-",REPLACE(AS126,1,1,tech!$H$2),AS126),"")</f>
        <v/>
      </c>
      <c r="AX126" t="s">
        <v>495</v>
      </c>
      <c r="AY126" s="492" t="s">
        <v>896</v>
      </c>
      <c r="AZ126" t="str">
        <f t="shared" si="182"/>
        <v>Requirements for agility are identified</v>
      </c>
      <c r="BA126" t="str">
        <f t="shared" ref="BA126:BA189" si="199">IF(AND(LEFT(AY126,1)="#",IFERROR(LEN(_xlfn.TEXTBEFORE(AY126," "))=4,0)),_xlfn.TEXTAFTER(AY126," "),BA125)</f>
        <v>References</v>
      </c>
      <c r="BB126" t="str">
        <f t="shared" si="143"/>
        <v>2.4.4.RY</v>
      </c>
      <c r="BC126" t="str">
        <f>IF(AND(AY126&lt;&gt;"",LEFT(AY126,1)&lt;&gt;"#"),IF(LEFT(AY126,1)="-",REPLACE(AY126,1,1,tech!$H$2),AY126),"")</f>
        <v>• [ISO/IEC 20000 and related standards](https://www.iso.org/standard/70636.html)</v>
      </c>
      <c r="BD126" t="s">
        <v>495</v>
      </c>
      <c r="BE126" s="492" t="s">
        <v>1040</v>
      </c>
      <c r="BF126" t="str">
        <f t="shared" si="183"/>
        <v>Technology future proofing</v>
      </c>
      <c r="BG126" t="str">
        <f t="shared" ref="BG126:BG189" si="200">IF(AND(LEFT(BE126,1)="#",IFERROR(LEN(_xlfn.TEXTBEFORE(BE126," "))=4,0)),_xlfn.TEXTAFTER(BE126," "),BG125)</f>
        <v>References</v>
      </c>
      <c r="BH126" t="str">
        <f t="shared" si="145"/>
        <v>3.1.4.RY</v>
      </c>
      <c r="BI126" t="str">
        <f>IF(AND(BE126&lt;&gt;"",LEFT(BE126,1)&lt;&gt;"#"),IF(LEFT(BE126,1)="-",REPLACE(BE126,1,1,tech!$H$2),BE126),"")</f>
        <v>• [ISO 223XX Security and resilience standards](https://www.iso.org/standard/77008.html)</v>
      </c>
      <c r="BJ126" t="s">
        <v>495</v>
      </c>
      <c r="BK126" s="492"/>
      <c r="BL126" t="str">
        <f t="shared" si="184"/>
        <v>Adoption and application of open standards</v>
      </c>
      <c r="BM126" t="str">
        <f t="shared" ref="BM126:BM189" si="201">IF(AND(LEFT(BK126,1)="#",IFERROR(LEN(_xlfn.TEXTBEFORE(BK126," "))=4,0)),_xlfn.TEXTAFTER(BK126," "),BM125)</f>
        <v>References</v>
      </c>
      <c r="BN126" t="str">
        <f t="shared" si="147"/>
        <v>3.2.3.RX</v>
      </c>
      <c r="BO126" t="str">
        <f>IF(AND(BK126&lt;&gt;"",LEFT(BK126,1)&lt;&gt;"#"),IF(LEFT(BK126,1)="-",REPLACE(BK126,1,1,tech!$H$2),BK126),"")</f>
        <v/>
      </c>
      <c r="BP126" t="s">
        <v>495</v>
      </c>
      <c r="BQ126" s="492"/>
      <c r="BR126" t="str">
        <f t="shared" si="185"/>
        <v>Monitoring of operational and security events is implemented</v>
      </c>
      <c r="BS126" t="str">
        <f t="shared" ref="BS126:BS189" si="202">IF(AND(LEFT(BQ126,1)="#",IFERROR(LEN(_xlfn.TEXTBEFORE(BQ126," "))=4,0)),_xlfn.TEXTAFTER(BQ126," "),BS125)</f>
        <v>References</v>
      </c>
      <c r="BT126" t="str">
        <f t="shared" si="149"/>
        <v>3.3.4.RX</v>
      </c>
      <c r="BU126" t="str">
        <f>IF(AND(BQ126&lt;&gt;"",LEFT(BQ126,1)&lt;&gt;"#"),IF(LEFT(BQ126,1)="-",REPLACE(BQ126,1,1,tech!$H$2),BQ126),"")</f>
        <v/>
      </c>
      <c r="BV126" t="s">
        <v>495</v>
      </c>
      <c r="BW126" s="492"/>
      <c r="BX126" t="str">
        <f t="shared" si="186"/>
        <v>Incidents and exceptions handling</v>
      </c>
      <c r="BY126" t="str">
        <f t="shared" ref="BY126:BY189" si="203">IF(AND(LEFT(BW126,1)="#",IFERROR(LEN(_xlfn.TEXTBEFORE(BW126," "))=4,0)),_xlfn.TEXTAFTER(BW126," "),BY125)</f>
        <v>References</v>
      </c>
      <c r="BZ126" t="str">
        <f t="shared" si="151"/>
        <v>3.4.3.RX</v>
      </c>
      <c r="CA126" t="str">
        <f>IF(AND(BW126&lt;&gt;"",LEFT(BW126,1)&lt;&gt;"#"),IF(LEFT(BW126,1)="-",REPLACE(BW126,1,1,tech!$H$2),BW126),"")</f>
        <v/>
      </c>
      <c r="CB126" t="s">
        <v>495</v>
      </c>
      <c r="CC126" s="492"/>
      <c r="CD126" t="str">
        <f t="shared" si="187"/>
        <v>Resources are periodically reviewed</v>
      </c>
      <c r="CE126" t="str">
        <f t="shared" ref="CE126:CE189" si="204">IF(AND(LEFT(CC126,1)="#",IFERROR(LEN(_xlfn.TEXTBEFORE(CC126," "))=4,0)),_xlfn.TEXTAFTER(CC126," "),CE125)</f>
        <v>References</v>
      </c>
      <c r="CF126" t="str">
        <f t="shared" si="153"/>
        <v>4.1.4.RX</v>
      </c>
      <c r="CG126" t="str">
        <f>IF(AND(CC126&lt;&gt;"",LEFT(CC126,1)&lt;&gt;"#"),IF(LEFT(CC126,1)="-",REPLACE(CC126,1,1,tech!$H$2),CC126),"")</f>
        <v/>
      </c>
      <c r="CH126" t="s">
        <v>495</v>
      </c>
      <c r="CI126" s="492" t="s">
        <v>1356</v>
      </c>
      <c r="CJ126" t="str">
        <f t="shared" si="188"/>
        <v>Establish education plan</v>
      </c>
      <c r="CK126" t="str">
        <f t="shared" ref="CK126:CK189" si="205">IF(AND(LEFT(CI126,1)="#",IFERROR(LEN(_xlfn.TEXTBEFORE(CI126," "))=4,0)),_xlfn.TEXTAFTER(CI126," "),CK125)</f>
        <v>Guidance</v>
      </c>
      <c r="CL126" t="str">
        <f t="shared" si="155"/>
        <v>4.2.4.GY</v>
      </c>
      <c r="CM126" t="str">
        <f>IF(AND(CI126&lt;&gt;"",LEFT(CI126,1)&lt;&gt;"#"),IF(LEFT(CI126,1)="-",REPLACE(CI126,1,1,tech!$H$2),CI126),"")</f>
        <v>• Competitions and challenges</v>
      </c>
      <c r="CN126" t="s">
        <v>495</v>
      </c>
      <c r="CO126" s="492"/>
      <c r="CP126" t="str">
        <f t="shared" si="189"/>
        <v>Timely communication of important information</v>
      </c>
      <c r="CQ126" t="str">
        <f t="shared" ref="CQ126:CQ189" si="206">IF(AND(LEFT(CO126,1)="#",IFERROR(LEN(_xlfn.TEXTBEFORE(CO126," "))=4,0)),_xlfn.TEXTAFTER(CO126," "),CQ125)</f>
        <v>References</v>
      </c>
      <c r="CR126" t="str">
        <f t="shared" si="157"/>
        <v>4.3.4.RX</v>
      </c>
      <c r="CS126" t="str">
        <f>IF(AND(CO126&lt;&gt;"",LEFT(CO126,1)&lt;&gt;"#"),IF(LEFT(CO126,1)="-",REPLACE(CO126,1,1,tech!$H$2),CO126),"")</f>
        <v/>
      </c>
      <c r="CT126" t="s">
        <v>495</v>
      </c>
    </row>
    <row r="127" spans="3:98" x14ac:dyDescent="0.25">
      <c r="C127" s="492"/>
      <c r="D127" t="str">
        <f t="shared" si="190"/>
        <v>Optimized</v>
      </c>
      <c r="E127" t="str">
        <f t="shared" si="191"/>
        <v>Associated risks</v>
      </c>
      <c r="F127" t="str">
        <f>_xlfn.CONCAT(VLOOKUP(D127,tech!$A$13:$B$17,2,0),LEFT(E127,1),IF(G127="","X","Y"))</f>
        <v>5AX</v>
      </c>
      <c r="G127" t="str">
        <f>IF(IF(LEFT(C127,1)="-",C127,"")="","",REPLACE(IF(LEFT(C127,1)="-",C127,""),1,1,tech!$H$2))</f>
        <v/>
      </c>
      <c r="H127" t="s">
        <v>495</v>
      </c>
      <c r="I127" s="492"/>
      <c r="J127" t="str">
        <f t="shared" si="175"/>
        <v>Architecture and design of the PKI</v>
      </c>
      <c r="K127" t="str">
        <f t="shared" si="192"/>
        <v>References</v>
      </c>
      <c r="L127" t="str">
        <f t="shared" si="129"/>
        <v>1.1.4.RX</v>
      </c>
      <c r="M127" t="str">
        <f>IF(AND(I127&lt;&gt;"",LEFT(I127,1)&lt;&gt;"#"),IF(LEFT(I127,1)="-",REPLACE(I127,1,1,tech!$H$2),I127),"")</f>
        <v/>
      </c>
      <c r="N127" t="s">
        <v>495</v>
      </c>
      <c r="O127" s="492"/>
      <c r="P127" t="str">
        <f t="shared" si="176"/>
        <v>Disclosure statement is documented and published</v>
      </c>
      <c r="Q127" t="str">
        <f t="shared" si="193"/>
        <v>Assessment</v>
      </c>
      <c r="R127" t="str">
        <f t="shared" si="131"/>
        <v>1.2.4.AX</v>
      </c>
      <c r="S127" t="str">
        <f>IF(AND(O127&lt;&gt;"",LEFT(O127,1)&lt;&gt;"#"),IF(LEFT(O127,1)="-",REPLACE(O127,1,1,tech!$H$2),O127),"")</f>
        <v/>
      </c>
      <c r="T127" t="s">
        <v>495</v>
      </c>
      <c r="U127" s="492"/>
      <c r="V127" t="str">
        <f t="shared" si="177"/>
        <v>List of relevant laws, regulations, and standards, exist and is maintained</v>
      </c>
      <c r="W127" t="str">
        <f t="shared" si="194"/>
        <v>References</v>
      </c>
      <c r="X127" t="str">
        <f t="shared" si="133"/>
        <v>1.3.4.RX</v>
      </c>
      <c r="Y127" t="str">
        <f>IF(AND(U127&lt;&gt;"",LEFT(U127,1)&lt;&gt;"#"),IF(LEFT(U127,1)="-",REPLACE(U127,1,1,tech!$H$2),U127),"")</f>
        <v/>
      </c>
      <c r="Z127" t="s">
        <v>495</v>
      </c>
      <c r="AA127" s="492"/>
      <c r="AB127" t="str">
        <f t="shared" si="178"/>
        <v>Processes and procedures are reviewed and updated</v>
      </c>
      <c r="AC127" t="str">
        <f t="shared" si="195"/>
        <v>References</v>
      </c>
      <c r="AD127" t="str">
        <f t="shared" si="135"/>
        <v>1.4.5.RX</v>
      </c>
      <c r="AE127" t="str">
        <f>IF(AND(AA127&lt;&gt;"",LEFT(AA127,1)&lt;&gt;"#"),IF(LEFT(AA127,1)="-",REPLACE(AA127,1,1,tech!$H$2),AA127),"")</f>
        <v/>
      </c>
      <c r="AF127" t="s">
        <v>495</v>
      </c>
      <c r="AG127" s="492" t="s">
        <v>727</v>
      </c>
      <c r="AH127" t="str">
        <f t="shared" si="179"/>
        <v>Cryptographic cipher suites and protocols are documented and maintained</v>
      </c>
      <c r="AI127" t="str">
        <f t="shared" si="196"/>
        <v>Guidance</v>
      </c>
      <c r="AJ127" t="str">
        <f t="shared" si="137"/>
        <v>2.1.5.GY</v>
      </c>
      <c r="AK127" t="str">
        <f>IF(AND(AG127&lt;&gt;"",LEFT(AG127,1)&lt;&gt;"#"),IF(LEFT(AG127,1)="-",REPLACE(AG127,1,1,tech!$H$2),AG127),"")</f>
        <v>Specific rules and boundaries to be applied for cryptographic cipher suites and protocols should be documented in encryption management policy that reflect the current status of cryptography practice.</v>
      </c>
      <c r="AL127" t="s">
        <v>495</v>
      </c>
      <c r="AM127" s="492" t="s">
        <v>880</v>
      </c>
      <c r="AN127" t="str">
        <f t="shared" si="180"/>
        <v>Inventory of issued certificates is documented</v>
      </c>
      <c r="AO127" t="str">
        <f t="shared" si="197"/>
        <v>Guidance</v>
      </c>
      <c r="AP127" t="str">
        <f t="shared" si="139"/>
        <v>2.2.4.GY</v>
      </c>
      <c r="AQ127" t="str">
        <f>IF(AND(AM127&lt;&gt;"",LEFT(AM127,1)&lt;&gt;"#"),IF(LEFT(AM127,1)="-",REPLACE(AM127,1,1,tech!$H$2),AM127),"")</f>
        <v>• it provides immediate access to the current status of certificates</v>
      </c>
      <c r="AR127" t="s">
        <v>495</v>
      </c>
      <c r="AS127" s="492"/>
      <c r="AT127" t="str">
        <f t="shared" si="181"/>
        <v>Infrastructure activities are periodically reviewed</v>
      </c>
      <c r="AU127" t="str">
        <f t="shared" si="198"/>
        <v>Guidance</v>
      </c>
      <c r="AV127" t="str">
        <f t="shared" si="141"/>
        <v>2.3.5.GX</v>
      </c>
      <c r="AW127" t="str">
        <f>IF(AND(AS127&lt;&gt;"",LEFT(AS127,1)&lt;&gt;"#"),IF(LEFT(AS127,1)="-",REPLACE(AS127,1,1,tech!$H$2),AS127),"")</f>
        <v/>
      </c>
      <c r="AX127" t="s">
        <v>495</v>
      </c>
      <c r="AY127" s="492" t="s">
        <v>965</v>
      </c>
      <c r="AZ127" t="str">
        <f t="shared" si="182"/>
        <v>Requirements for agility are identified</v>
      </c>
      <c r="BA127" t="str">
        <f t="shared" si="199"/>
        <v>References</v>
      </c>
      <c r="BB127" t="str">
        <f t="shared" si="143"/>
        <v>2.4.4.RY</v>
      </c>
      <c r="BC127" t="str">
        <f>IF(AND(AY127&lt;&gt;"",LEFT(AY127,1)&lt;&gt;"#"),IF(LEFT(AY127,1)="-",REPLACE(AY127,1,1,tech!$H$2),AY127),"")</f>
        <v>• [The Information Technology Infrastructure Library (ITIL)](https://www.axelos.com/best-practice-solutions/itil)</v>
      </c>
      <c r="BD127" t="s">
        <v>495</v>
      </c>
      <c r="BE127" s="492" t="s">
        <v>1035</v>
      </c>
      <c r="BF127" t="str">
        <f t="shared" si="183"/>
        <v>Technology future proofing</v>
      </c>
      <c r="BG127" t="str">
        <f t="shared" si="200"/>
        <v>References</v>
      </c>
      <c r="BH127" t="str">
        <f t="shared" si="145"/>
        <v>3.1.4.RY</v>
      </c>
      <c r="BI127" t="str">
        <f>IF(AND(BE127&lt;&gt;"",LEFT(BE127,1)&lt;&gt;"#"),IF(LEFT(BE127,1)="-",REPLACE(BE127,1,1,tech!$H$2),BE127),"")</f>
        <v>• [ISO/IEC 22301 - Business continuity management systems](https://www.iso.org/standard/50056.html)</v>
      </c>
      <c r="BJ127" t="s">
        <v>495</v>
      </c>
      <c r="BK127" s="492"/>
      <c r="BL127" t="str">
        <f t="shared" si="184"/>
        <v>Adoption and application of open standards</v>
      </c>
      <c r="BM127" t="str">
        <f t="shared" si="201"/>
        <v>References</v>
      </c>
      <c r="BN127" t="str">
        <f t="shared" si="147"/>
        <v>3.2.3.RX</v>
      </c>
      <c r="BO127" t="str">
        <f>IF(AND(BK127&lt;&gt;"",LEFT(BK127,1)&lt;&gt;"#"),IF(LEFT(BK127,1)="-",REPLACE(BK127,1,1,tech!$H$2),BK127),"")</f>
        <v/>
      </c>
      <c r="BP127" t="s">
        <v>495</v>
      </c>
      <c r="BQ127" s="492" t="s">
        <v>504</v>
      </c>
      <c r="BR127" t="str">
        <f t="shared" si="185"/>
        <v>Monitoring of operational and security events is implemented</v>
      </c>
      <c r="BS127" t="str">
        <f t="shared" si="202"/>
        <v>References</v>
      </c>
      <c r="BT127" t="str">
        <f t="shared" si="149"/>
        <v>3.3.4.RY</v>
      </c>
      <c r="BU127" t="str">
        <f>IF(AND(BQ127&lt;&gt;"",LEFT(BQ127,1)&lt;&gt;"#"),IF(LEFT(BQ127,1)="-",REPLACE(BQ127,1,1,tech!$H$2),BQ127),"")</f>
        <v>• [ISO/IEC 27001 - Information security management systems](https://www.iso.org/standard/54534.html)</v>
      </c>
      <c r="BV127" t="s">
        <v>495</v>
      </c>
      <c r="BW127" s="492"/>
      <c r="BX127" t="str">
        <f t="shared" si="186"/>
        <v>Incidents and exceptions handling</v>
      </c>
      <c r="BY127" t="str">
        <f t="shared" si="203"/>
        <v>References</v>
      </c>
      <c r="BZ127" t="str">
        <f t="shared" si="151"/>
        <v>3.4.3.RX</v>
      </c>
      <c r="CA127" t="str">
        <f>IF(AND(BW127&lt;&gt;"",LEFT(BW127,1)&lt;&gt;"#"),IF(LEFT(BW127,1)="-",REPLACE(BW127,1,1,tech!$H$2),BW127),"")</f>
        <v/>
      </c>
      <c r="CB127" t="s">
        <v>495</v>
      </c>
      <c r="CC127" s="492"/>
      <c r="CD127" t="str">
        <f t="shared" si="187"/>
        <v>Resources are periodically reviewed</v>
      </c>
      <c r="CE127" t="str">
        <f t="shared" si="204"/>
        <v>References</v>
      </c>
      <c r="CF127" t="str">
        <f t="shared" si="153"/>
        <v>4.1.4.RX</v>
      </c>
      <c r="CG127" t="str">
        <f>IF(AND(CC127&lt;&gt;"",LEFT(CC127,1)&lt;&gt;"#"),IF(LEFT(CC127,1)="-",REPLACE(CC127,1,1,tech!$H$2),CC127),"")</f>
        <v/>
      </c>
      <c r="CH127" t="s">
        <v>495</v>
      </c>
      <c r="CI127" s="492"/>
      <c r="CJ127" t="str">
        <f t="shared" si="188"/>
        <v>Establish education plan</v>
      </c>
      <c r="CK127" t="str">
        <f t="shared" si="205"/>
        <v>Guidance</v>
      </c>
      <c r="CL127" t="str">
        <f t="shared" si="155"/>
        <v>4.2.4.GX</v>
      </c>
      <c r="CM127" t="str">
        <f>IF(AND(CI127&lt;&gt;"",LEFT(CI127,1)&lt;&gt;"#"),IF(LEFT(CI127,1)="-",REPLACE(CI127,1,1,tech!$H$2),CI127),"")</f>
        <v/>
      </c>
      <c r="CN127" t="s">
        <v>495</v>
      </c>
      <c r="CO127" s="492"/>
      <c r="CP127" t="str">
        <f t="shared" si="189"/>
        <v>Timely communication of important information</v>
      </c>
      <c r="CQ127" t="str">
        <f t="shared" si="206"/>
        <v>References</v>
      </c>
      <c r="CR127" t="str">
        <f t="shared" si="157"/>
        <v>4.3.4.RX</v>
      </c>
      <c r="CS127" t="str">
        <f>IF(AND(CO127&lt;&gt;"",LEFT(CO127,1)&lt;&gt;"#"),IF(LEFT(CO127,1)="-",REPLACE(CO127,1,1,tech!$H$2),CO127),"")</f>
        <v/>
      </c>
      <c r="CT127" t="s">
        <v>495</v>
      </c>
    </row>
    <row r="128" spans="3:98" x14ac:dyDescent="0.25">
      <c r="C128" s="492"/>
      <c r="D128" t="str">
        <f t="shared" si="190"/>
        <v>Optimized</v>
      </c>
      <c r="E128" t="str">
        <f t="shared" si="191"/>
        <v>Associated risks</v>
      </c>
      <c r="F128" t="str">
        <f>_xlfn.CONCAT(VLOOKUP(D128,tech!$A$13:$B$17,2,0),LEFT(E128,1),IF(G128="","X","Y"))</f>
        <v>5AX</v>
      </c>
      <c r="G128" t="str">
        <f>IF(IF(LEFT(C128,1)="-",C128,"")="","",REPLACE(IF(LEFT(C128,1)="-",C128,""),1,1,tech!$H$2))</f>
        <v/>
      </c>
      <c r="H128" t="s">
        <v>495</v>
      </c>
      <c r="I128" s="492"/>
      <c r="J128" t="str">
        <f t="shared" si="175"/>
        <v>Architecture and design of the PKI</v>
      </c>
      <c r="K128" t="str">
        <f t="shared" si="192"/>
        <v>References</v>
      </c>
      <c r="L128" t="str">
        <f t="shared" si="129"/>
        <v>1.1.4.RX</v>
      </c>
      <c r="M128" t="str">
        <f>IF(AND(I128&lt;&gt;"",LEFT(I128,1)&lt;&gt;"#"),IF(LEFT(I128,1)="-",REPLACE(I128,1,1,tech!$H$2),I128),"")</f>
        <v/>
      </c>
      <c r="N128" t="s">
        <v>495</v>
      </c>
      <c r="O128" s="492" t="s">
        <v>503</v>
      </c>
      <c r="P128" t="str">
        <f t="shared" si="176"/>
        <v>Disclosure statement is documented and published</v>
      </c>
      <c r="Q128" t="str">
        <f t="shared" si="193"/>
        <v>References</v>
      </c>
      <c r="R128" t="str">
        <f t="shared" si="131"/>
        <v>1.2.4.RX</v>
      </c>
      <c r="S128" t="str">
        <f>IF(AND(O128&lt;&gt;"",LEFT(O128,1)&lt;&gt;"#"),IF(LEFT(O128,1)="-",REPLACE(O128,1,1,tech!$H$2),O128),"")</f>
        <v/>
      </c>
      <c r="T128" t="s">
        <v>495</v>
      </c>
      <c r="U128" s="492"/>
      <c r="V128" t="str">
        <f t="shared" si="177"/>
        <v>List of relevant laws, regulations, and standards, exist and is maintained</v>
      </c>
      <c r="W128" t="str">
        <f t="shared" si="194"/>
        <v>References</v>
      </c>
      <c r="X128" t="str">
        <f t="shared" si="133"/>
        <v>1.3.4.RX</v>
      </c>
      <c r="Y128" t="str">
        <f>IF(AND(U128&lt;&gt;"",LEFT(U128,1)&lt;&gt;"#"),IF(LEFT(U128,1)="-",REPLACE(U128,1,1,tech!$H$2),U128),"")</f>
        <v/>
      </c>
      <c r="Z128" t="s">
        <v>495</v>
      </c>
      <c r="AA128" s="492"/>
      <c r="AB128" t="str">
        <f t="shared" si="178"/>
        <v>Processes and procedures are reviewed and updated</v>
      </c>
      <c r="AC128" t="str">
        <f t="shared" si="195"/>
        <v>References</v>
      </c>
      <c r="AD128" t="str">
        <f t="shared" si="135"/>
        <v>1.4.5.RX</v>
      </c>
      <c r="AE128" t="str">
        <f>IF(AND(AA128&lt;&gt;"",LEFT(AA128,1)&lt;&gt;"#"),IF(LEFT(AA128,1)="-",REPLACE(AA128,1,1,tech!$H$2),AA128),"")</f>
        <v/>
      </c>
      <c r="AF128" t="s">
        <v>495</v>
      </c>
      <c r="AG128" s="492"/>
      <c r="AH128" t="str">
        <f t="shared" si="179"/>
        <v>Cryptographic cipher suites and protocols are documented and maintained</v>
      </c>
      <c r="AI128" t="str">
        <f t="shared" si="196"/>
        <v>Guidance</v>
      </c>
      <c r="AJ128" t="str">
        <f t="shared" si="137"/>
        <v>2.1.5.GY</v>
      </c>
      <c r="AK128" t="str">
        <f>IF(AND(AG128&lt;&gt;"",LEFT(AG128,1)&lt;&gt;"#"),IF(LEFT(AG128,1)="-",REPLACE(AG128,1,1,tech!$H$2),AG128),"")</f>
        <v/>
      </c>
      <c r="AL128" t="s">
        <v>495</v>
      </c>
      <c r="AM128" s="492" t="s">
        <v>848</v>
      </c>
      <c r="AN128" t="str">
        <f t="shared" si="180"/>
        <v>Inventory of issued certificates is documented</v>
      </c>
      <c r="AO128" t="str">
        <f t="shared" si="197"/>
        <v>Guidance</v>
      </c>
      <c r="AP128" t="str">
        <f t="shared" si="139"/>
        <v>2.2.4.GY</v>
      </c>
      <c r="AQ128" t="str">
        <f>IF(AND(AM128&lt;&gt;"",LEFT(AM128,1)&lt;&gt;"#"),IF(LEFT(AM128,1)="-",REPLACE(AM128,1,1,tech!$H$2),AM128),"")</f>
        <v>• provides possibility to react on certificate-related events (compromise, change, expiration, etc.)</v>
      </c>
      <c r="AR128" t="s">
        <v>495</v>
      </c>
      <c r="AS128" s="492" t="s">
        <v>911</v>
      </c>
      <c r="AT128" t="str">
        <f t="shared" si="181"/>
        <v>Infrastructure activities are periodically reviewed</v>
      </c>
      <c r="AU128" t="str">
        <f t="shared" si="198"/>
        <v>Guidance</v>
      </c>
      <c r="AV128" t="str">
        <f t="shared" si="141"/>
        <v>2.3.5.GY</v>
      </c>
      <c r="AW128" t="str">
        <f>IF(AND(AS128&lt;&gt;"",LEFT(AS128,1)&lt;&gt;"#"),IF(LEFT(AS128,1)="-",REPLACE(AS128,1,1,tech!$H$2),AS128),"")</f>
        <v>Infrastructure management related activities should be periodically reviewed, updated and approved. The frequency of review should be based on the organizational risks and needs to be protected against current and future trends.</v>
      </c>
      <c r="AX128" t="s">
        <v>495</v>
      </c>
      <c r="AY128" s="492"/>
      <c r="AZ128" t="str">
        <f t="shared" si="182"/>
        <v>Requirements for agility are identified</v>
      </c>
      <c r="BA128" t="str">
        <f t="shared" si="199"/>
        <v>References</v>
      </c>
      <c r="BB128" t="str">
        <f t="shared" si="143"/>
        <v>2.4.4.RX</v>
      </c>
      <c r="BC128" t="str">
        <f>IF(AND(AY128&lt;&gt;"",LEFT(AY128,1)&lt;&gt;"#"),IF(LEFT(AY128,1)="-",REPLACE(AY128,1,1,tech!$H$2),AY128),"")</f>
        <v/>
      </c>
      <c r="BD128" t="s">
        <v>495</v>
      </c>
      <c r="BE128" s="492"/>
      <c r="BF128" t="str">
        <f t="shared" si="183"/>
        <v>Technology future proofing</v>
      </c>
      <c r="BG128" t="str">
        <f t="shared" si="200"/>
        <v>References</v>
      </c>
      <c r="BH128" t="str">
        <f t="shared" si="145"/>
        <v>3.1.4.RX</v>
      </c>
      <c r="BI128" t="str">
        <f>IF(AND(BE128&lt;&gt;"",LEFT(BE128,1)&lt;&gt;"#"),IF(LEFT(BE128,1)="-",REPLACE(BE128,1,1,tech!$H$2),BE128),"")</f>
        <v/>
      </c>
      <c r="BJ128" t="s">
        <v>495</v>
      </c>
      <c r="BK128" s="492"/>
      <c r="BL128" t="str">
        <f t="shared" si="184"/>
        <v>Adoption and application of open standards</v>
      </c>
      <c r="BM128" t="str">
        <f t="shared" si="201"/>
        <v>References</v>
      </c>
      <c r="BN128" t="str">
        <f t="shared" si="147"/>
        <v>3.2.3.RX</v>
      </c>
      <c r="BO128" t="str">
        <f>IF(AND(BK128&lt;&gt;"",LEFT(BK128,1)&lt;&gt;"#"),IF(LEFT(BK128,1)="-",REPLACE(BK128,1,1,tech!$H$2),BK128),"")</f>
        <v/>
      </c>
      <c r="BP128" t="s">
        <v>495</v>
      </c>
      <c r="BQ128" s="492" t="s">
        <v>896</v>
      </c>
      <c r="BR128" t="str">
        <f t="shared" si="185"/>
        <v>Monitoring of operational and security events is implemented</v>
      </c>
      <c r="BS128" t="str">
        <f t="shared" si="202"/>
        <v>References</v>
      </c>
      <c r="BT128" t="str">
        <f t="shared" si="149"/>
        <v>3.3.4.RY</v>
      </c>
      <c r="BU128" t="str">
        <f>IF(AND(BQ128&lt;&gt;"",LEFT(BQ128,1)&lt;&gt;"#"),IF(LEFT(BQ128,1)="-",REPLACE(BQ128,1,1,tech!$H$2),BQ128),"")</f>
        <v>• [ISO/IEC 20000 and related standards](https://www.iso.org/standard/70636.html)</v>
      </c>
      <c r="BV128" t="s">
        <v>495</v>
      </c>
      <c r="BW128" s="492"/>
      <c r="BX128" t="str">
        <f t="shared" si="186"/>
        <v>Incidents and exceptions handling</v>
      </c>
      <c r="BY128" t="str">
        <f t="shared" si="203"/>
        <v>References</v>
      </c>
      <c r="BZ128" t="str">
        <f t="shared" si="151"/>
        <v>3.4.3.RX</v>
      </c>
      <c r="CA128" t="str">
        <f>IF(AND(BW128&lt;&gt;"",LEFT(BW128,1)&lt;&gt;"#"),IF(LEFT(BW128,1)="-",REPLACE(BW128,1,1,tech!$H$2),BW128),"")</f>
        <v/>
      </c>
      <c r="CB128" t="s">
        <v>495</v>
      </c>
      <c r="CC128" s="492"/>
      <c r="CD128" t="str">
        <f t="shared" si="187"/>
        <v>Resources are periodically reviewed</v>
      </c>
      <c r="CE128" t="str">
        <f t="shared" si="204"/>
        <v>References</v>
      </c>
      <c r="CF128" t="str">
        <f t="shared" si="153"/>
        <v>4.1.4.RX</v>
      </c>
      <c r="CG128" t="str">
        <f>IF(AND(CC128&lt;&gt;"",LEFT(CC128,1)&lt;&gt;"#"),IF(LEFT(CC128,1)="-",REPLACE(CC128,1,1,tech!$H$2),CC128),"")</f>
        <v/>
      </c>
      <c r="CH128" t="s">
        <v>495</v>
      </c>
      <c r="CI128" s="492" t="s">
        <v>501</v>
      </c>
      <c r="CJ128" t="str">
        <f t="shared" si="188"/>
        <v>Establish education plan</v>
      </c>
      <c r="CK128" t="str">
        <f t="shared" si="205"/>
        <v>Assessment</v>
      </c>
      <c r="CL128" t="str">
        <f t="shared" si="155"/>
        <v>4.2.4.AX</v>
      </c>
      <c r="CM128" t="str">
        <f>IF(AND(CI128&lt;&gt;"",LEFT(CI128,1)&lt;&gt;"#"),IF(LEFT(CI128,1)="-",REPLACE(CI128,1,1,tech!$H$2),CI128),"")</f>
        <v/>
      </c>
      <c r="CN128" t="s">
        <v>495</v>
      </c>
      <c r="CO128" s="492"/>
      <c r="CP128" t="str">
        <f t="shared" si="189"/>
        <v>Timely communication of important information</v>
      </c>
      <c r="CQ128" t="str">
        <f t="shared" si="206"/>
        <v>References</v>
      </c>
      <c r="CR128" t="str">
        <f t="shared" si="157"/>
        <v>4.3.4.RX</v>
      </c>
      <c r="CS128" t="str">
        <f>IF(AND(CO128&lt;&gt;"",LEFT(CO128,1)&lt;&gt;"#"),IF(LEFT(CO128,1)="-",REPLACE(CO128,1,1,tech!$H$2),CO128),"")</f>
        <v/>
      </c>
      <c r="CT128" t="s">
        <v>495</v>
      </c>
    </row>
    <row r="129" spans="3:98" x14ac:dyDescent="0.25">
      <c r="C129" s="492"/>
      <c r="D129" t="str">
        <f t="shared" si="190"/>
        <v>Optimized</v>
      </c>
      <c r="E129" t="str">
        <f t="shared" si="191"/>
        <v>Associated risks</v>
      </c>
      <c r="F129" t="str">
        <f>_xlfn.CONCAT(VLOOKUP(D129,tech!$A$13:$B$17,2,0),LEFT(E129,1),IF(G129="","X","Y"))</f>
        <v>5AX</v>
      </c>
      <c r="G129" t="str">
        <f>IF(IF(LEFT(C129,1)="-",C129,"")="","",REPLACE(IF(LEFT(C129,1)="-",C129,""),1,1,tech!$H$2))</f>
        <v/>
      </c>
      <c r="H129" t="s">
        <v>495</v>
      </c>
      <c r="I129" s="492"/>
      <c r="J129" t="str">
        <f t="shared" si="175"/>
        <v>Architecture and design of the PKI</v>
      </c>
      <c r="K129" t="str">
        <f t="shared" si="192"/>
        <v>References</v>
      </c>
      <c r="L129" t="str">
        <f t="shared" si="129"/>
        <v>1.1.4.RX</v>
      </c>
      <c r="M129" t="str">
        <f>IF(AND(I129&lt;&gt;"",LEFT(I129,1)&lt;&gt;"#"),IF(LEFT(I129,1)="-",REPLACE(I129,1,1,tech!$H$2),I129),"")</f>
        <v/>
      </c>
      <c r="N129" t="s">
        <v>495</v>
      </c>
      <c r="O129" s="492"/>
      <c r="P129" t="str">
        <f t="shared" si="176"/>
        <v>Disclosure statement is documented and published</v>
      </c>
      <c r="Q129" t="str">
        <f t="shared" si="193"/>
        <v>References</v>
      </c>
      <c r="R129" t="str">
        <f t="shared" si="131"/>
        <v>1.2.4.RX</v>
      </c>
      <c r="S129" t="str">
        <f>IF(AND(O129&lt;&gt;"",LEFT(O129,1)&lt;&gt;"#"),IF(LEFT(O129,1)="-",REPLACE(O129,1,1,tech!$H$2),O129),"")</f>
        <v/>
      </c>
      <c r="T129" t="s">
        <v>495</v>
      </c>
      <c r="U129" s="492"/>
      <c r="V129" t="str">
        <f t="shared" si="177"/>
        <v>List of relevant laws, regulations, and standards, exist and is maintained</v>
      </c>
      <c r="W129" t="str">
        <f t="shared" si="194"/>
        <v>References</v>
      </c>
      <c r="X129" t="str">
        <f t="shared" si="133"/>
        <v>1.3.4.RX</v>
      </c>
      <c r="Y129" t="str">
        <f>IF(AND(U129&lt;&gt;"",LEFT(U129,1)&lt;&gt;"#"),IF(LEFT(U129,1)="-",REPLACE(U129,1,1,tech!$H$2),U129),"")</f>
        <v/>
      </c>
      <c r="Z129" t="s">
        <v>495</v>
      </c>
      <c r="AA129" s="492"/>
      <c r="AB129" t="str">
        <f t="shared" si="178"/>
        <v>Processes and procedures are reviewed and updated</v>
      </c>
      <c r="AC129" t="str">
        <f t="shared" si="195"/>
        <v>References</v>
      </c>
      <c r="AD129" t="str">
        <f t="shared" si="135"/>
        <v>1.4.5.RX</v>
      </c>
      <c r="AE129" t="str">
        <f>IF(AND(AA129&lt;&gt;"",LEFT(AA129,1)&lt;&gt;"#"),IF(LEFT(AA129,1)="-",REPLACE(AA129,1,1,tech!$H$2),AA129),"")</f>
        <v/>
      </c>
      <c r="AF129" t="s">
        <v>495</v>
      </c>
      <c r="AG129" s="492" t="s">
        <v>728</v>
      </c>
      <c r="AH129" t="str">
        <f t="shared" si="179"/>
        <v>Cryptographic cipher suites and protocols are documented and maintained</v>
      </c>
      <c r="AI129" t="str">
        <f t="shared" si="196"/>
        <v>Guidance</v>
      </c>
      <c r="AJ129" t="str">
        <f t="shared" si="137"/>
        <v>2.1.5.GY</v>
      </c>
      <c r="AK129" t="str">
        <f>IF(AND(AG129&lt;&gt;"",LEFT(AG129,1)&lt;&gt;"#"),IF(LEFT(AG129,1)="-",REPLACE(AG129,1,1,tech!$H$2),AG129),"")</f>
        <v>Cipher suites and protocols should be regularly checked against the implemented technology and configuration. Any deviation from the documented and allowed protocols should be fixed.</v>
      </c>
      <c r="AL129" t="s">
        <v>495</v>
      </c>
      <c r="AM129" s="492" t="s">
        <v>881</v>
      </c>
      <c r="AN129" t="str">
        <f t="shared" si="180"/>
        <v>Inventory of issued certificates is documented</v>
      </c>
      <c r="AO129" t="str">
        <f t="shared" si="197"/>
        <v>Guidance</v>
      </c>
      <c r="AP129" t="str">
        <f t="shared" si="139"/>
        <v>2.2.4.GY</v>
      </c>
      <c r="AQ129" t="str">
        <f>IF(AND(AM129&lt;&gt;"",LEFT(AM129,1)&lt;&gt;"#"),IF(LEFT(AM129,1)="-",REPLACE(AM129,1,1,tech!$H$2),AM129),"")</f>
        <v>• Understand impact of lifecycle changes</v>
      </c>
      <c r="AR129" t="s">
        <v>495</v>
      </c>
      <c r="AS129" s="492"/>
      <c r="AT129" t="str">
        <f t="shared" si="181"/>
        <v>Infrastructure activities are periodically reviewed</v>
      </c>
      <c r="AU129" t="str">
        <f t="shared" si="198"/>
        <v>Guidance</v>
      </c>
      <c r="AV129" t="str">
        <f t="shared" si="141"/>
        <v>2.3.5.GY</v>
      </c>
      <c r="AW129" t="str">
        <f>IF(AND(AS129&lt;&gt;"",LEFT(AS129,1)&lt;&gt;"#"),IF(LEFT(AS129,1)="-",REPLACE(AS129,1,1,tech!$H$2),AS129),"")</f>
        <v/>
      </c>
      <c r="AX129" t="s">
        <v>495</v>
      </c>
      <c r="AY129" s="492" t="s">
        <v>978</v>
      </c>
      <c r="AZ129" t="str">
        <f t="shared" si="182"/>
        <v>Change management and agility is periodically reviewed</v>
      </c>
      <c r="BA129" t="str">
        <f t="shared" si="199"/>
        <v>References</v>
      </c>
      <c r="BB129" t="str">
        <f t="shared" si="143"/>
        <v>2.4.5.RX</v>
      </c>
      <c r="BC129" t="str">
        <f>IF(AND(AY129&lt;&gt;"",LEFT(AY129,1)&lt;&gt;"#"),IF(LEFT(AY129,1)="-",REPLACE(AY129,1,1,tech!$H$2),AY129),"")</f>
        <v/>
      </c>
      <c r="BD129" t="s">
        <v>495</v>
      </c>
      <c r="BE129" s="492" t="s">
        <v>1041</v>
      </c>
      <c r="BF129" t="str">
        <f t="shared" si="183"/>
        <v>Competence and information sharing</v>
      </c>
      <c r="BG129" t="str">
        <f t="shared" si="200"/>
        <v>References</v>
      </c>
      <c r="BH129" t="str">
        <f t="shared" si="145"/>
        <v>3.1.5.RX</v>
      </c>
      <c r="BI129" t="str">
        <f>IF(AND(BE129&lt;&gt;"",LEFT(BE129,1)&lt;&gt;"#"),IF(LEFT(BE129,1)="-",REPLACE(BE129,1,1,tech!$H$2),BE129),"")</f>
        <v/>
      </c>
      <c r="BJ129" t="s">
        <v>495</v>
      </c>
      <c r="BK129" s="492"/>
      <c r="BL129" t="str">
        <f t="shared" si="184"/>
        <v>Adoption and application of open standards</v>
      </c>
      <c r="BM129" t="str">
        <f t="shared" si="201"/>
        <v>References</v>
      </c>
      <c r="BN129" t="str">
        <f t="shared" si="147"/>
        <v>3.2.3.RX</v>
      </c>
      <c r="BO129" t="str">
        <f>IF(AND(BK129&lt;&gt;"",LEFT(BK129,1)&lt;&gt;"#"),IF(LEFT(BK129,1)="-",REPLACE(BK129,1,1,tech!$H$2),BK129),"")</f>
        <v/>
      </c>
      <c r="BP129" t="s">
        <v>495</v>
      </c>
      <c r="BQ129" s="492" t="s">
        <v>1146</v>
      </c>
      <c r="BR129" t="str">
        <f t="shared" si="185"/>
        <v>Monitoring of operational and security events is implemented</v>
      </c>
      <c r="BS129" t="str">
        <f t="shared" si="202"/>
        <v>References</v>
      </c>
      <c r="BT129" t="str">
        <f t="shared" si="149"/>
        <v>3.3.4.RY</v>
      </c>
      <c r="BU129" t="str">
        <f>IF(AND(BQ129&lt;&gt;"",LEFT(BQ129,1)&lt;&gt;"#"),IF(LEFT(BQ129,1)="-",REPLACE(BQ129,1,1,tech!$H$2),BQ129),"")</f>
        <v>• [ISO/IEC 27099 - Public key infrastructure](https://www.iso.org/standard/56590.html)</v>
      </c>
      <c r="BV129" t="s">
        <v>495</v>
      </c>
      <c r="BW129" s="492"/>
      <c r="BX129" t="str">
        <f t="shared" si="186"/>
        <v>Incidents and exceptions handling</v>
      </c>
      <c r="BY129" t="str">
        <f t="shared" si="203"/>
        <v>References</v>
      </c>
      <c r="BZ129" t="str">
        <f t="shared" si="151"/>
        <v>3.4.3.RX</v>
      </c>
      <c r="CA129" t="str">
        <f>IF(AND(BW129&lt;&gt;"",LEFT(BW129,1)&lt;&gt;"#"),IF(LEFT(BW129,1)="-",REPLACE(BW129,1,1,tech!$H$2),BW129),"")</f>
        <v/>
      </c>
      <c r="CB129" t="s">
        <v>495</v>
      </c>
      <c r="CC129" s="492"/>
      <c r="CD129" t="str">
        <f t="shared" si="187"/>
        <v>Resources are periodically reviewed</v>
      </c>
      <c r="CE129" t="str">
        <f t="shared" si="204"/>
        <v>References</v>
      </c>
      <c r="CF129" t="str">
        <f t="shared" si="153"/>
        <v>4.1.4.RX</v>
      </c>
      <c r="CG129" t="str">
        <f>IF(AND(CC129&lt;&gt;"",LEFT(CC129,1)&lt;&gt;"#"),IF(LEFT(CC129,1)="-",REPLACE(CC129,1,1,tech!$H$2),CC129),"")</f>
        <v/>
      </c>
      <c r="CH129" t="s">
        <v>495</v>
      </c>
      <c r="CI129" s="492"/>
      <c r="CJ129" t="str">
        <f t="shared" si="188"/>
        <v>Establish education plan</v>
      </c>
      <c r="CK129" t="str">
        <f t="shared" si="205"/>
        <v>Assessment</v>
      </c>
      <c r="CL129" t="str">
        <f t="shared" si="155"/>
        <v>4.2.4.AX</v>
      </c>
      <c r="CM129" t="str">
        <f>IF(AND(CI129&lt;&gt;"",LEFT(CI129,1)&lt;&gt;"#"),IF(LEFT(CI129,1)="-",REPLACE(CI129,1,1,tech!$H$2),CI129),"")</f>
        <v/>
      </c>
      <c r="CN129" t="s">
        <v>495</v>
      </c>
      <c r="CO129" s="492"/>
      <c r="CP129" t="str">
        <f t="shared" si="189"/>
        <v>Timely communication of important information</v>
      </c>
      <c r="CQ129" t="str">
        <f t="shared" si="206"/>
        <v>References</v>
      </c>
      <c r="CR129" t="str">
        <f t="shared" si="157"/>
        <v>4.3.4.RX</v>
      </c>
      <c r="CS129" t="str">
        <f>IF(AND(CO129&lt;&gt;"",LEFT(CO129,1)&lt;&gt;"#"),IF(LEFT(CO129,1)="-",REPLACE(CO129,1,1,tech!$H$2),CO129),"")</f>
        <v/>
      </c>
      <c r="CT129" t="s">
        <v>495</v>
      </c>
    </row>
    <row r="130" spans="3:98" x14ac:dyDescent="0.25">
      <c r="C130" s="492"/>
      <c r="D130" t="str">
        <f t="shared" si="190"/>
        <v>Optimized</v>
      </c>
      <c r="E130" t="str">
        <f t="shared" si="191"/>
        <v>Associated risks</v>
      </c>
      <c r="F130" t="str">
        <f>_xlfn.CONCAT(VLOOKUP(D130,tech!$A$13:$B$17,2,0),LEFT(E130,1),IF(G130="","X","Y"))</f>
        <v>5AX</v>
      </c>
      <c r="G130" t="str">
        <f>IF(IF(LEFT(C130,1)="-",C130,"")="","",REPLACE(IF(LEFT(C130,1)="-",C130,""),1,1,tech!$H$2))</f>
        <v/>
      </c>
      <c r="H130" t="s">
        <v>495</v>
      </c>
      <c r="I130" s="492"/>
      <c r="J130" t="str">
        <f t="shared" si="175"/>
        <v>Architecture and design of the PKI</v>
      </c>
      <c r="K130" t="str">
        <f t="shared" si="192"/>
        <v>References</v>
      </c>
      <c r="L130" t="str">
        <f t="shared" si="129"/>
        <v>1.1.4.RX</v>
      </c>
      <c r="M130" t="str">
        <f>IF(AND(I130&lt;&gt;"",LEFT(I130,1)&lt;&gt;"#"),IF(LEFT(I130,1)="-",REPLACE(I130,1,1,tech!$H$2),I130),"")</f>
        <v/>
      </c>
      <c r="N130" t="s">
        <v>495</v>
      </c>
      <c r="O130" s="492" t="s">
        <v>558</v>
      </c>
      <c r="P130" t="str">
        <f t="shared" si="176"/>
        <v>Disclosure statement is documented and published</v>
      </c>
      <c r="Q130" t="str">
        <f t="shared" si="193"/>
        <v>References</v>
      </c>
      <c r="R130" t="str">
        <f t="shared" si="131"/>
        <v>1.2.4.RY</v>
      </c>
      <c r="S130" t="str">
        <f>IF(AND(O130&lt;&gt;"",LEFT(O130,1)&lt;&gt;"#"),IF(LEFT(O130,1)="-",REPLACE(O130,1,1,tech!$H$2),O130),"")</f>
        <v>• [ETSI EN 319 411-1 - Policy and security requirements for Trust Service Providers issuing certificates](https://www.etsi.org/deliver/etsi_en/319400_319499/31941101/01.03.01_60/en_31941101v010301p.pdf)</v>
      </c>
      <c r="T130" t="s">
        <v>495</v>
      </c>
      <c r="U130" s="492"/>
      <c r="V130" t="str">
        <f t="shared" si="177"/>
        <v>List of relevant laws, regulations, and standards, exist and is maintained</v>
      </c>
      <c r="W130" t="str">
        <f t="shared" si="194"/>
        <v>References</v>
      </c>
      <c r="X130" t="str">
        <f t="shared" si="133"/>
        <v>1.3.4.RX</v>
      </c>
      <c r="Y130" t="str">
        <f>IF(AND(U130&lt;&gt;"",LEFT(U130,1)&lt;&gt;"#"),IF(LEFT(U130,1)="-",REPLACE(U130,1,1,tech!$H$2),U130),"")</f>
        <v/>
      </c>
      <c r="Z130" t="s">
        <v>495</v>
      </c>
      <c r="AA130" s="492"/>
      <c r="AB130" t="str">
        <f t="shared" si="178"/>
        <v>Processes and procedures are reviewed and updated</v>
      </c>
      <c r="AC130" t="str">
        <f t="shared" si="195"/>
        <v>References</v>
      </c>
      <c r="AD130" t="str">
        <f t="shared" si="135"/>
        <v>1.4.5.RX</v>
      </c>
      <c r="AE130" t="str">
        <f>IF(AND(AA130&lt;&gt;"",LEFT(AA130,1)&lt;&gt;"#"),IF(LEFT(AA130,1)="-",REPLACE(AA130,1,1,tech!$H$2),AA130),"")</f>
        <v/>
      </c>
      <c r="AF130" t="s">
        <v>495</v>
      </c>
      <c r="AG130" s="492"/>
      <c r="AH130" t="str">
        <f t="shared" si="179"/>
        <v>Cryptographic cipher suites and protocols are documented and maintained</v>
      </c>
      <c r="AI130" t="str">
        <f t="shared" si="196"/>
        <v>Guidance</v>
      </c>
      <c r="AJ130" t="str">
        <f t="shared" si="137"/>
        <v>2.1.5.GX</v>
      </c>
      <c r="AK130" t="str">
        <f>IF(AND(AG130&lt;&gt;"",LEFT(AG130,1)&lt;&gt;"#"),IF(LEFT(AG130,1)="-",REPLACE(AG130,1,1,tech!$H$2),AG130),"")</f>
        <v/>
      </c>
      <c r="AL130" t="s">
        <v>495</v>
      </c>
      <c r="AM130" s="492" t="s">
        <v>882</v>
      </c>
      <c r="AN130" t="str">
        <f t="shared" si="180"/>
        <v>Inventory of issued certificates is documented</v>
      </c>
      <c r="AO130" t="str">
        <f t="shared" si="197"/>
        <v>Guidance</v>
      </c>
      <c r="AP130" t="str">
        <f t="shared" si="139"/>
        <v>2.2.4.GY</v>
      </c>
      <c r="AQ130" t="str">
        <f>IF(AND(AM130&lt;&gt;"",LEFT(AM130,1)&lt;&gt;"#"),IF(LEFT(AM130,1)="-",REPLACE(AM130,1,1,tech!$H$2),AM130),"")</f>
        <v>• it gives information on all Locations of certificates</v>
      </c>
      <c r="AR130" t="s">
        <v>495</v>
      </c>
      <c r="AS130" s="492" t="s">
        <v>912</v>
      </c>
      <c r="AT130" t="str">
        <f t="shared" si="181"/>
        <v>Infrastructure activities are periodically reviewed</v>
      </c>
      <c r="AU130" t="str">
        <f t="shared" si="198"/>
        <v>Guidance</v>
      </c>
      <c r="AV130" t="str">
        <f t="shared" si="141"/>
        <v>2.3.5.GY</v>
      </c>
      <c r="AW130" t="str">
        <f>IF(AND(AS130&lt;&gt;"",LEFT(AS130,1)&lt;&gt;"#"),IF(LEFT(AS130,1)="-",REPLACE(AS130,1,1,tech!$H$2),AS130),"")</f>
        <v>Periodical review helps to keep the infrastructure management accurate and helps to maintain required skills and knowledge.</v>
      </c>
      <c r="AX130" t="s">
        <v>495</v>
      </c>
      <c r="AY130" s="492"/>
      <c r="AZ130" t="str">
        <f t="shared" si="182"/>
        <v>Change management and agility is periodically reviewed</v>
      </c>
      <c r="BA130" t="str">
        <f t="shared" si="199"/>
        <v>References</v>
      </c>
      <c r="BB130" t="str">
        <f t="shared" si="143"/>
        <v>2.4.5.RX</v>
      </c>
      <c r="BC130" t="str">
        <f>IF(AND(AY130&lt;&gt;"",LEFT(AY130,1)&lt;&gt;"#"),IF(LEFT(AY130,1)="-",REPLACE(AY130,1,1,tech!$H$2),AY130),"")</f>
        <v/>
      </c>
      <c r="BD130" t="s">
        <v>495</v>
      </c>
      <c r="BE130" s="492"/>
      <c r="BF130" t="str">
        <f t="shared" si="183"/>
        <v>Competence and information sharing</v>
      </c>
      <c r="BG130" t="str">
        <f t="shared" si="200"/>
        <v>References</v>
      </c>
      <c r="BH130" t="str">
        <f t="shared" si="145"/>
        <v>3.1.5.RX</v>
      </c>
      <c r="BI130" t="str">
        <f>IF(AND(BE130&lt;&gt;"",LEFT(BE130,1)&lt;&gt;"#"),IF(LEFT(BE130,1)="-",REPLACE(BE130,1,1,tech!$H$2),BE130),"")</f>
        <v/>
      </c>
      <c r="BJ130" t="s">
        <v>495</v>
      </c>
      <c r="BK130" s="492"/>
      <c r="BL130" t="str">
        <f t="shared" si="184"/>
        <v>Adoption and application of open standards</v>
      </c>
      <c r="BM130" t="str">
        <f t="shared" si="201"/>
        <v>References</v>
      </c>
      <c r="BN130" t="str">
        <f t="shared" si="147"/>
        <v>3.2.3.RX</v>
      </c>
      <c r="BO130" t="str">
        <f>IF(AND(BK130&lt;&gt;"",LEFT(BK130,1)&lt;&gt;"#"),IF(LEFT(BK130,1)="-",REPLACE(BK130,1,1,tech!$H$2),BK130),"")</f>
        <v/>
      </c>
      <c r="BP130" t="s">
        <v>495</v>
      </c>
      <c r="BQ130" s="492"/>
      <c r="BR130" t="str">
        <f t="shared" si="185"/>
        <v>Monitoring of operational and security events is implemented</v>
      </c>
      <c r="BS130" t="str">
        <f t="shared" si="202"/>
        <v>References</v>
      </c>
      <c r="BT130" t="str">
        <f t="shared" si="149"/>
        <v>3.3.4.RX</v>
      </c>
      <c r="BU130" t="str">
        <f>IF(AND(BQ130&lt;&gt;"",LEFT(BQ130,1)&lt;&gt;"#"),IF(LEFT(BQ130,1)="-",REPLACE(BQ130,1,1,tech!$H$2),BQ130),"")</f>
        <v/>
      </c>
      <c r="BV130" t="s">
        <v>495</v>
      </c>
      <c r="BW130" s="492"/>
      <c r="BX130" t="str">
        <f t="shared" si="186"/>
        <v>Incidents and exceptions handling</v>
      </c>
      <c r="BY130" t="str">
        <f t="shared" si="203"/>
        <v>References</v>
      </c>
      <c r="BZ130" t="str">
        <f t="shared" si="151"/>
        <v>3.4.3.RX</v>
      </c>
      <c r="CA130" t="str">
        <f>IF(AND(BW130&lt;&gt;"",LEFT(BW130,1)&lt;&gt;"#"),IF(LEFT(BW130,1)="-",REPLACE(BW130,1,1,tech!$H$2),BW130),"")</f>
        <v/>
      </c>
      <c r="CB130" t="s">
        <v>495</v>
      </c>
      <c r="CC130" s="492"/>
      <c r="CD130" t="str">
        <f t="shared" si="187"/>
        <v>Resources are periodically reviewed</v>
      </c>
      <c r="CE130" t="str">
        <f t="shared" si="204"/>
        <v>References</v>
      </c>
      <c r="CF130" t="str">
        <f t="shared" si="153"/>
        <v>4.1.4.RX</v>
      </c>
      <c r="CG130" t="str">
        <f>IF(AND(CC130&lt;&gt;"",LEFT(CC130,1)&lt;&gt;"#"),IF(LEFT(CC130,1)="-",REPLACE(CC130,1,1,tech!$H$2),CC130),"")</f>
        <v/>
      </c>
      <c r="CH130" t="s">
        <v>495</v>
      </c>
      <c r="CI130" s="492" t="s">
        <v>1357</v>
      </c>
      <c r="CJ130" t="str">
        <f t="shared" si="188"/>
        <v>Establish education plan</v>
      </c>
      <c r="CK130" t="str">
        <f t="shared" si="205"/>
        <v>Assessment</v>
      </c>
      <c r="CL130" t="str">
        <f t="shared" si="155"/>
        <v>4.2.4.AY</v>
      </c>
      <c r="CM130" t="str">
        <f>IF(AND(CI130&lt;&gt;"",LEFT(CI130,1)&lt;&gt;"#"),IF(LEFT(CI130,1)="-",REPLACE(CI130,1,1,tech!$H$2),CI130),"")</f>
        <v>• Review education plan and its Alignment with the Training plan</v>
      </c>
      <c r="CN130" t="s">
        <v>495</v>
      </c>
      <c r="CO130" s="492"/>
      <c r="CP130" t="str">
        <f t="shared" si="189"/>
        <v>Timely communication of important information</v>
      </c>
      <c r="CQ130" t="str">
        <f t="shared" si="206"/>
        <v>References</v>
      </c>
      <c r="CR130" t="str">
        <f t="shared" si="157"/>
        <v>4.3.4.RX</v>
      </c>
      <c r="CS130" t="str">
        <f>IF(AND(CO130&lt;&gt;"",LEFT(CO130,1)&lt;&gt;"#"),IF(LEFT(CO130,1)="-",REPLACE(CO130,1,1,tech!$H$2),CO130),"")</f>
        <v/>
      </c>
      <c r="CT130" t="s">
        <v>495</v>
      </c>
    </row>
    <row r="131" spans="3:98" x14ac:dyDescent="0.25">
      <c r="C131" s="492"/>
      <c r="D131" t="str">
        <f t="shared" si="190"/>
        <v>Optimized</v>
      </c>
      <c r="E131" t="str">
        <f t="shared" si="191"/>
        <v>Associated risks</v>
      </c>
      <c r="F131" t="str">
        <f>_xlfn.CONCAT(VLOOKUP(D131,tech!$A$13:$B$17,2,0),LEFT(E131,1),IF(G131="","X","Y"))</f>
        <v>5AX</v>
      </c>
      <c r="G131" t="str">
        <f>IF(IF(LEFT(C131,1)="-",C131,"")="","",REPLACE(IF(LEFT(C131,1)="-",C131,""),1,1,tech!$H$2))</f>
        <v/>
      </c>
      <c r="H131" t="s">
        <v>495</v>
      </c>
      <c r="I131" s="492"/>
      <c r="J131" t="str">
        <f t="shared" si="175"/>
        <v>Architecture and design of the PKI</v>
      </c>
      <c r="K131" t="str">
        <f t="shared" si="192"/>
        <v>References</v>
      </c>
      <c r="L131" t="str">
        <f t="shared" si="129"/>
        <v>1.1.4.RX</v>
      </c>
      <c r="M131" t="str">
        <f>IF(AND(I131&lt;&gt;"",LEFT(I131,1)&lt;&gt;"#"),IF(LEFT(I131,1)="-",REPLACE(I131,1,1,tech!$H$2),I131),"")</f>
        <v/>
      </c>
      <c r="N131" t="s">
        <v>495</v>
      </c>
      <c r="O131" s="492"/>
      <c r="P131" t="str">
        <f t="shared" si="176"/>
        <v>Disclosure statement is documented and published</v>
      </c>
      <c r="Q131" t="str">
        <f t="shared" si="193"/>
        <v>References</v>
      </c>
      <c r="R131" t="str">
        <f t="shared" si="131"/>
        <v>1.2.4.RX</v>
      </c>
      <c r="S131" t="str">
        <f>IF(AND(O131&lt;&gt;"",LEFT(O131,1)&lt;&gt;"#"),IF(LEFT(O131,1)="-",REPLACE(O131,1,1,tech!$H$2),O131),"")</f>
        <v/>
      </c>
      <c r="T131" t="s">
        <v>495</v>
      </c>
      <c r="U131" s="492"/>
      <c r="V131" t="str">
        <f t="shared" si="177"/>
        <v>List of relevant laws, regulations, and standards, exist and is maintained</v>
      </c>
      <c r="W131" t="str">
        <f t="shared" si="194"/>
        <v>References</v>
      </c>
      <c r="X131" t="str">
        <f t="shared" si="133"/>
        <v>1.3.4.RX</v>
      </c>
      <c r="Y131" t="str">
        <f>IF(AND(U131&lt;&gt;"",LEFT(U131,1)&lt;&gt;"#"),IF(LEFT(U131,1)="-",REPLACE(U131,1,1,tech!$H$2),U131),"")</f>
        <v/>
      </c>
      <c r="Z131" t="s">
        <v>495</v>
      </c>
      <c r="AA131" s="492"/>
      <c r="AB131" t="str">
        <f t="shared" si="178"/>
        <v>Processes and procedures are reviewed and updated</v>
      </c>
      <c r="AC131" t="str">
        <f t="shared" si="195"/>
        <v>References</v>
      </c>
      <c r="AD131" t="str">
        <f t="shared" si="135"/>
        <v>1.4.5.RX</v>
      </c>
      <c r="AE131" t="str">
        <f>IF(AND(AA131&lt;&gt;"",LEFT(AA131,1)&lt;&gt;"#"),IF(LEFT(AA131,1)="-",REPLACE(AA131,1,1,tech!$H$2),AA131),"")</f>
        <v/>
      </c>
      <c r="AF131" t="s">
        <v>495</v>
      </c>
      <c r="AG131" s="492" t="s">
        <v>501</v>
      </c>
      <c r="AH131" t="str">
        <f t="shared" si="179"/>
        <v>Cryptographic cipher suites and protocols are documented and maintained</v>
      </c>
      <c r="AI131" t="str">
        <f t="shared" si="196"/>
        <v>Assessment</v>
      </c>
      <c r="AJ131" t="str">
        <f t="shared" si="137"/>
        <v>2.1.5.AX</v>
      </c>
      <c r="AK131" t="str">
        <f>IF(AND(AG131&lt;&gt;"",LEFT(AG131,1)&lt;&gt;"#"),IF(LEFT(AG131,1)="-",REPLACE(AG131,1,1,tech!$H$2),AG131),"")</f>
        <v/>
      </c>
      <c r="AL131" t="s">
        <v>495</v>
      </c>
      <c r="AM131" s="492" t="s">
        <v>883</v>
      </c>
      <c r="AN131" t="str">
        <f t="shared" si="180"/>
        <v>Inventory of issued certificates is documented</v>
      </c>
      <c r="AO131" t="str">
        <f t="shared" si="197"/>
        <v>Guidance</v>
      </c>
      <c r="AP131" t="str">
        <f t="shared" si="139"/>
        <v>2.2.4.GY</v>
      </c>
      <c r="AQ131" t="str">
        <f>IF(AND(AM131&lt;&gt;"",LEFT(AM131,1)&lt;&gt;"#"),IF(LEFT(AM131,1)="-",REPLACE(AM131,1,1,tech!$H$2),AM131),"")</f>
        <v>• can enforce and maintain ownership of certificates</v>
      </c>
      <c r="AR131" t="s">
        <v>495</v>
      </c>
      <c r="AS131" s="492" t="s">
        <v>733</v>
      </c>
      <c r="AT131" t="str">
        <f t="shared" si="181"/>
        <v>Infrastructure activities are periodically reviewed</v>
      </c>
      <c r="AU131" t="str">
        <f t="shared" si="198"/>
        <v>Guidance</v>
      </c>
      <c r="AV131" t="str">
        <f t="shared" si="141"/>
        <v>2.3.5.GY</v>
      </c>
      <c r="AW131" t="str">
        <f>IF(AND(AS131&lt;&gt;"",LEFT(AS131,1)&lt;&gt;"#"),IF(LEFT(AS131,1)="-",REPLACE(AS131,1,1,tech!$H$2),AS131),"")</f>
        <v>It provides assurance that the expected controls are active and working as intended.</v>
      </c>
      <c r="AX131" t="s">
        <v>495</v>
      </c>
      <c r="AY131" s="492" t="s">
        <v>498</v>
      </c>
      <c r="AZ131" t="str">
        <f t="shared" si="182"/>
        <v>Change management and agility is periodically reviewed</v>
      </c>
      <c r="BA131" t="str">
        <f t="shared" si="199"/>
        <v>Guidance</v>
      </c>
      <c r="BB131" t="str">
        <f t="shared" si="143"/>
        <v>2.4.5.GX</v>
      </c>
      <c r="BC131" t="str">
        <f>IF(AND(AY131&lt;&gt;"",LEFT(AY131,1)&lt;&gt;"#"),IF(LEFT(AY131,1)="-",REPLACE(AY131,1,1,tech!$H$2),AY131),"")</f>
        <v/>
      </c>
      <c r="BD131" t="s">
        <v>495</v>
      </c>
      <c r="BE131" s="492" t="s">
        <v>498</v>
      </c>
      <c r="BF131" t="str">
        <f t="shared" si="183"/>
        <v>Competence and information sharing</v>
      </c>
      <c r="BG131" t="str">
        <f t="shared" si="200"/>
        <v>Guidance</v>
      </c>
      <c r="BH131" t="str">
        <f t="shared" si="145"/>
        <v>3.1.5.GX</v>
      </c>
      <c r="BI131" t="str">
        <f>IF(AND(BE131&lt;&gt;"",LEFT(BE131,1)&lt;&gt;"#"),IF(LEFT(BE131,1)="-",REPLACE(BE131,1,1,tech!$H$2),BE131),"")</f>
        <v/>
      </c>
      <c r="BJ131" t="s">
        <v>495</v>
      </c>
      <c r="BK131" s="492"/>
      <c r="BL131" t="str">
        <f t="shared" si="184"/>
        <v>Adoption and application of open standards</v>
      </c>
      <c r="BM131" t="str">
        <f t="shared" si="201"/>
        <v>References</v>
      </c>
      <c r="BN131" t="str">
        <f t="shared" si="147"/>
        <v>3.2.3.RX</v>
      </c>
      <c r="BO131" t="str">
        <f>IF(AND(BK131&lt;&gt;"",LEFT(BK131,1)&lt;&gt;"#"),IF(LEFT(BK131,1)="-",REPLACE(BK131,1,1,tech!$H$2),BK131),"")</f>
        <v/>
      </c>
      <c r="BP131" t="s">
        <v>495</v>
      </c>
      <c r="BQ131" s="492" t="s">
        <v>1164</v>
      </c>
      <c r="BR131" t="str">
        <f t="shared" si="185"/>
        <v>Critical events are immediately alerted and resolved according to incident response plans</v>
      </c>
      <c r="BS131" t="str">
        <f t="shared" si="202"/>
        <v>References</v>
      </c>
      <c r="BT131" t="str">
        <f t="shared" si="149"/>
        <v>3.3.5.RX</v>
      </c>
      <c r="BU131" t="str">
        <f>IF(AND(BQ131&lt;&gt;"",LEFT(BQ131,1)&lt;&gt;"#"),IF(LEFT(BQ131,1)="-",REPLACE(BQ131,1,1,tech!$H$2),BQ131),"")</f>
        <v/>
      </c>
      <c r="BV131" t="s">
        <v>495</v>
      </c>
      <c r="BW131" s="492"/>
      <c r="BX131" t="str">
        <f t="shared" si="186"/>
        <v>Incidents and exceptions handling</v>
      </c>
      <c r="BY131" t="str">
        <f t="shared" si="203"/>
        <v>References</v>
      </c>
      <c r="BZ131" t="str">
        <f t="shared" si="151"/>
        <v>3.4.3.RX</v>
      </c>
      <c r="CA131" t="str">
        <f>IF(AND(BW131&lt;&gt;"",LEFT(BW131,1)&lt;&gt;"#"),IF(LEFT(BW131,1)="-",REPLACE(BW131,1,1,tech!$H$2),BW131),"")</f>
        <v/>
      </c>
      <c r="CB131" t="s">
        <v>495</v>
      </c>
      <c r="CC131" s="492"/>
      <c r="CD131" t="str">
        <f t="shared" si="187"/>
        <v>Resources are periodically reviewed</v>
      </c>
      <c r="CE131" t="str">
        <f t="shared" si="204"/>
        <v>References</v>
      </c>
      <c r="CF131" t="str">
        <f t="shared" si="153"/>
        <v>4.1.4.RX</v>
      </c>
      <c r="CG131" t="str">
        <f>IF(AND(CC131&lt;&gt;"",LEFT(CC131,1)&lt;&gt;"#"),IF(LEFT(CC131,1)="-",REPLACE(CC131,1,1,tech!$H$2),CC131),"")</f>
        <v/>
      </c>
      <c r="CH131" t="s">
        <v>495</v>
      </c>
      <c r="CI131" s="492" t="s">
        <v>1358</v>
      </c>
      <c r="CJ131" t="str">
        <f t="shared" si="188"/>
        <v>Establish education plan</v>
      </c>
      <c r="CK131" t="str">
        <f t="shared" si="205"/>
        <v>Assessment</v>
      </c>
      <c r="CL131" t="str">
        <f t="shared" si="155"/>
        <v>4.2.4.AY</v>
      </c>
      <c r="CM131" t="str">
        <f>IF(AND(CI131&lt;&gt;"",LEFT(CI131,1)&lt;&gt;"#"),IF(LEFT(CI131,1)="-",REPLACE(CI131,1,1,tech!$H$2),CI131),"")</f>
        <v>• Interview personnel to verify their educational goals</v>
      </c>
      <c r="CN131" t="s">
        <v>495</v>
      </c>
      <c r="CO131" s="492"/>
      <c r="CP131" t="str">
        <f t="shared" si="189"/>
        <v>Timely communication of important information</v>
      </c>
      <c r="CQ131" t="str">
        <f t="shared" si="206"/>
        <v>References</v>
      </c>
      <c r="CR131" t="str">
        <f t="shared" si="157"/>
        <v>4.3.4.RX</v>
      </c>
      <c r="CS131" t="str">
        <f>IF(AND(CO131&lt;&gt;"",LEFT(CO131,1)&lt;&gt;"#"),IF(LEFT(CO131,1)="-",REPLACE(CO131,1,1,tech!$H$2),CO131),"")</f>
        <v/>
      </c>
      <c r="CT131" t="s">
        <v>495</v>
      </c>
    </row>
    <row r="132" spans="3:98" x14ac:dyDescent="0.25">
      <c r="C132" s="492"/>
      <c r="D132" t="str">
        <f t="shared" si="190"/>
        <v>Optimized</v>
      </c>
      <c r="E132" t="str">
        <f t="shared" si="191"/>
        <v>Associated risks</v>
      </c>
      <c r="F132" t="str">
        <f>_xlfn.CONCAT(VLOOKUP(D132,tech!$A$13:$B$17,2,0),LEFT(E132,1),IF(G132="","X","Y"))</f>
        <v>5AX</v>
      </c>
      <c r="G132" t="str">
        <f>IF(IF(LEFT(C132,1)="-",C132,"")="","",REPLACE(IF(LEFT(C132,1)="-",C132,""),1,1,tech!$H$2))</f>
        <v/>
      </c>
      <c r="H132" t="s">
        <v>495</v>
      </c>
      <c r="I132" s="492"/>
      <c r="J132" t="str">
        <f t="shared" si="175"/>
        <v>Architecture and design of the PKI</v>
      </c>
      <c r="K132" t="str">
        <f t="shared" si="192"/>
        <v>References</v>
      </c>
      <c r="L132" t="str">
        <f t="shared" si="129"/>
        <v>1.1.4.RX</v>
      </c>
      <c r="M132" t="str">
        <f>IF(AND(I132&lt;&gt;"",LEFT(I132,1)&lt;&gt;"#"),IF(LEFT(I132,1)="-",REPLACE(I132,1,1,tech!$H$2),I132),"")</f>
        <v/>
      </c>
      <c r="N132" t="s">
        <v>495</v>
      </c>
      <c r="O132" s="492" t="s">
        <v>569</v>
      </c>
      <c r="P132" t="str">
        <f t="shared" si="176"/>
        <v>Policies are periodically reviewed and updated</v>
      </c>
      <c r="Q132" t="str">
        <f t="shared" si="193"/>
        <v>References</v>
      </c>
      <c r="R132" t="str">
        <f t="shared" si="131"/>
        <v>1.2.5.RX</v>
      </c>
      <c r="S132" t="str">
        <f>IF(AND(O132&lt;&gt;"",LEFT(O132,1)&lt;&gt;"#"),IF(LEFT(O132,1)="-",REPLACE(O132,1,1,tech!$H$2),O132),"")</f>
        <v/>
      </c>
      <c r="T132" t="s">
        <v>495</v>
      </c>
      <c r="U132" s="492"/>
      <c r="V132" t="str">
        <f t="shared" si="177"/>
        <v>List of relevant laws, regulations, and standards, exist and is maintained</v>
      </c>
      <c r="W132" t="str">
        <f t="shared" si="194"/>
        <v>References</v>
      </c>
      <c r="X132" t="str">
        <f t="shared" si="133"/>
        <v>1.3.4.RX</v>
      </c>
      <c r="Y132" t="str">
        <f>IF(AND(U132&lt;&gt;"",LEFT(U132,1)&lt;&gt;"#"),IF(LEFT(U132,1)="-",REPLACE(U132,1,1,tech!$H$2),U132),"")</f>
        <v/>
      </c>
      <c r="Z132" t="s">
        <v>495</v>
      </c>
      <c r="AA132" s="492"/>
      <c r="AB132" t="str">
        <f t="shared" si="178"/>
        <v>Processes and procedures are reviewed and updated</v>
      </c>
      <c r="AC132" t="str">
        <f t="shared" si="195"/>
        <v>References</v>
      </c>
      <c r="AD132" t="str">
        <f t="shared" si="135"/>
        <v>1.4.5.RX</v>
      </c>
      <c r="AE132" t="str">
        <f>IF(AND(AA132&lt;&gt;"",LEFT(AA132,1)&lt;&gt;"#"),IF(LEFT(AA132,1)="-",REPLACE(AA132,1,1,tech!$H$2),AA132),"")</f>
        <v/>
      </c>
      <c r="AF132" t="s">
        <v>495</v>
      </c>
      <c r="AG132" s="492"/>
      <c r="AH132" t="str">
        <f t="shared" si="179"/>
        <v>Cryptographic cipher suites and protocols are documented and maintained</v>
      </c>
      <c r="AI132" t="str">
        <f t="shared" si="196"/>
        <v>Assessment</v>
      </c>
      <c r="AJ132" t="str">
        <f t="shared" si="137"/>
        <v>2.1.5.AX</v>
      </c>
      <c r="AK132" t="str">
        <f>IF(AND(AG132&lt;&gt;"",LEFT(AG132,1)&lt;&gt;"#"),IF(LEFT(AG132,1)="-",REPLACE(AG132,1,1,tech!$H$2),AG132),"")</f>
        <v/>
      </c>
      <c r="AL132" t="s">
        <v>495</v>
      </c>
      <c r="AM132" s="492"/>
      <c r="AN132" t="str">
        <f t="shared" si="180"/>
        <v>Inventory of issued certificates is documented</v>
      </c>
      <c r="AO132" t="str">
        <f t="shared" si="197"/>
        <v>Guidance</v>
      </c>
      <c r="AP132" t="str">
        <f t="shared" si="139"/>
        <v>2.2.4.GY</v>
      </c>
      <c r="AQ132" t="str">
        <f>IF(AND(AM132&lt;&gt;"",LEFT(AM132,1)&lt;&gt;"#"),IF(LEFT(AM132,1)="-",REPLACE(AM132,1,1,tech!$H$2),AM132),"")</f>
        <v/>
      </c>
      <c r="AR132" t="s">
        <v>495</v>
      </c>
      <c r="AS132" s="492"/>
      <c r="AT132" t="str">
        <f t="shared" si="181"/>
        <v>Infrastructure activities are periodically reviewed</v>
      </c>
      <c r="AU132" t="str">
        <f t="shared" si="198"/>
        <v>Guidance</v>
      </c>
      <c r="AV132" t="str">
        <f t="shared" si="141"/>
        <v>2.3.5.GY</v>
      </c>
      <c r="AW132" t="str">
        <f>IF(AND(AS132&lt;&gt;"",LEFT(AS132,1)&lt;&gt;"#"),IF(LEFT(AS132,1)="-",REPLACE(AS132,1,1,tech!$H$2),AS132),"")</f>
        <v/>
      </c>
      <c r="AX132" t="s">
        <v>495</v>
      </c>
      <c r="AY132" s="492"/>
      <c r="AZ132" t="str">
        <f t="shared" si="182"/>
        <v>Change management and agility is periodically reviewed</v>
      </c>
      <c r="BA132" t="str">
        <f t="shared" si="199"/>
        <v>Guidance</v>
      </c>
      <c r="BB132" t="str">
        <f t="shared" si="143"/>
        <v>2.4.5.GX</v>
      </c>
      <c r="BC132" t="str">
        <f>IF(AND(AY132&lt;&gt;"",LEFT(AY132,1)&lt;&gt;"#"),IF(LEFT(AY132,1)="-",REPLACE(AY132,1,1,tech!$H$2),AY132),"")</f>
        <v/>
      </c>
      <c r="BD132" t="s">
        <v>495</v>
      </c>
      <c r="BE132" s="492"/>
      <c r="BF132" t="str">
        <f t="shared" si="183"/>
        <v>Competence and information sharing</v>
      </c>
      <c r="BG132" t="str">
        <f t="shared" si="200"/>
        <v>Guidance</v>
      </c>
      <c r="BH132" t="str">
        <f t="shared" si="145"/>
        <v>3.1.5.GX</v>
      </c>
      <c r="BI132" t="str">
        <f>IF(AND(BE132&lt;&gt;"",LEFT(BE132,1)&lt;&gt;"#"),IF(LEFT(BE132,1)="-",REPLACE(BE132,1,1,tech!$H$2),BE132),"")</f>
        <v/>
      </c>
      <c r="BJ132" t="s">
        <v>495</v>
      </c>
      <c r="BK132" s="492"/>
      <c r="BL132" t="str">
        <f t="shared" si="184"/>
        <v>Adoption and application of open standards</v>
      </c>
      <c r="BM132" t="str">
        <f t="shared" si="201"/>
        <v>References</v>
      </c>
      <c r="BN132" t="str">
        <f t="shared" si="147"/>
        <v>3.2.3.RX</v>
      </c>
      <c r="BO132" t="str">
        <f>IF(AND(BK132&lt;&gt;"",LEFT(BK132,1)&lt;&gt;"#"),IF(LEFT(BK132,1)="-",REPLACE(BK132,1,1,tech!$H$2),BK132),"")</f>
        <v/>
      </c>
      <c r="BP132" t="s">
        <v>495</v>
      </c>
      <c r="BQ132" s="492"/>
      <c r="BR132" t="str">
        <f t="shared" si="185"/>
        <v>Critical events are immediately alerted and resolved according to incident response plans</v>
      </c>
      <c r="BS132" t="str">
        <f t="shared" si="202"/>
        <v>References</v>
      </c>
      <c r="BT132" t="str">
        <f t="shared" si="149"/>
        <v>3.3.5.RX</v>
      </c>
      <c r="BU132" t="str">
        <f>IF(AND(BQ132&lt;&gt;"",LEFT(BQ132,1)&lt;&gt;"#"),IF(LEFT(BQ132,1)="-",REPLACE(BQ132,1,1,tech!$H$2),BQ132),"")</f>
        <v/>
      </c>
      <c r="BV132" t="s">
        <v>495</v>
      </c>
      <c r="BW132" s="492"/>
      <c r="BX132" t="str">
        <f t="shared" si="186"/>
        <v>Incidents and exceptions handling</v>
      </c>
      <c r="BY132" t="str">
        <f t="shared" si="203"/>
        <v>References</v>
      </c>
      <c r="BZ132" t="str">
        <f t="shared" si="151"/>
        <v>3.4.3.RX</v>
      </c>
      <c r="CA132" t="str">
        <f>IF(AND(BW132&lt;&gt;"",LEFT(BW132,1)&lt;&gt;"#"),IF(LEFT(BW132,1)="-",REPLACE(BW132,1,1,tech!$H$2),BW132),"")</f>
        <v/>
      </c>
      <c r="CB132" t="s">
        <v>495</v>
      </c>
      <c r="CC132" s="492"/>
      <c r="CD132" t="str">
        <f t="shared" si="187"/>
        <v>Resources are periodically reviewed</v>
      </c>
      <c r="CE132" t="str">
        <f t="shared" si="204"/>
        <v>References</v>
      </c>
      <c r="CF132" t="str">
        <f t="shared" si="153"/>
        <v>4.1.4.RX</v>
      </c>
      <c r="CG132" t="str">
        <f>IF(AND(CC132&lt;&gt;"",LEFT(CC132,1)&lt;&gt;"#"),IF(LEFT(CC132,1)="-",REPLACE(CC132,1,1,tech!$H$2),CC132),"")</f>
        <v/>
      </c>
      <c r="CH132" t="s">
        <v>495</v>
      </c>
      <c r="CI132" s="492" t="s">
        <v>1359</v>
      </c>
      <c r="CJ132" t="str">
        <f t="shared" si="188"/>
        <v>Establish education plan</v>
      </c>
      <c r="CK132" t="str">
        <f t="shared" si="205"/>
        <v>Assessment</v>
      </c>
      <c r="CL132" t="str">
        <f t="shared" si="155"/>
        <v>4.2.4.AY</v>
      </c>
      <c r="CM132" t="str">
        <f>IF(AND(CI132&lt;&gt;"",LEFT(CI132,1)&lt;&gt;"#"),IF(LEFT(CI132,1)="-",REPLACE(CI132,1,1,tech!$H$2),CI132),"")</f>
        <v>• Validate education records</v>
      </c>
      <c r="CN132" t="s">
        <v>495</v>
      </c>
      <c r="CO132" s="492"/>
      <c r="CP132" t="str">
        <f t="shared" si="189"/>
        <v>Timely communication of important information</v>
      </c>
      <c r="CQ132" t="str">
        <f t="shared" si="206"/>
        <v>References</v>
      </c>
      <c r="CR132" t="str">
        <f t="shared" si="157"/>
        <v>4.3.4.RX</v>
      </c>
      <c r="CS132" t="str">
        <f>IF(AND(CO132&lt;&gt;"",LEFT(CO132,1)&lt;&gt;"#"),IF(LEFT(CO132,1)="-",REPLACE(CO132,1,1,tech!$H$2),CO132),"")</f>
        <v/>
      </c>
      <c r="CT132" t="s">
        <v>495</v>
      </c>
    </row>
    <row r="133" spans="3:98" x14ac:dyDescent="0.25">
      <c r="C133" s="492"/>
      <c r="D133" t="str">
        <f t="shared" si="190"/>
        <v>Optimized</v>
      </c>
      <c r="E133" t="str">
        <f t="shared" si="191"/>
        <v>Associated risks</v>
      </c>
      <c r="F133" t="str">
        <f>_xlfn.CONCAT(VLOOKUP(D133,tech!$A$13:$B$17,2,0),LEFT(E133,1),IF(G133="","X","Y"))</f>
        <v>5AX</v>
      </c>
      <c r="G133" t="str">
        <f>IF(IF(LEFT(C133,1)="-",C133,"")="","",REPLACE(IF(LEFT(C133,1)="-",C133,""),1,1,tech!$H$2))</f>
        <v/>
      </c>
      <c r="H133" t="s">
        <v>495</v>
      </c>
      <c r="I133" s="492"/>
      <c r="J133" t="str">
        <f t="shared" si="175"/>
        <v>Architecture and design of the PKI</v>
      </c>
      <c r="K133" t="str">
        <f t="shared" si="192"/>
        <v>References</v>
      </c>
      <c r="L133" t="str">
        <f t="shared" si="129"/>
        <v>1.1.4.RX</v>
      </c>
      <c r="M133" t="str">
        <f>IF(AND(I133&lt;&gt;"",LEFT(I133,1)&lt;&gt;"#"),IF(LEFT(I133,1)="-",REPLACE(I133,1,1,tech!$H$2),I133),"")</f>
        <v/>
      </c>
      <c r="N133" t="s">
        <v>495</v>
      </c>
      <c r="O133" s="492"/>
      <c r="P133" t="str">
        <f t="shared" si="176"/>
        <v>Policies are periodically reviewed and updated</v>
      </c>
      <c r="Q133" t="str">
        <f t="shared" si="193"/>
        <v>References</v>
      </c>
      <c r="R133" t="str">
        <f t="shared" si="131"/>
        <v>1.2.5.RX</v>
      </c>
      <c r="S133" t="str">
        <f>IF(AND(O133&lt;&gt;"",LEFT(O133,1)&lt;&gt;"#"),IF(LEFT(O133,1)="-",REPLACE(O133,1,1,tech!$H$2),O133),"")</f>
        <v/>
      </c>
      <c r="T133" t="s">
        <v>495</v>
      </c>
      <c r="U133" s="492"/>
      <c r="V133" t="str">
        <f t="shared" si="177"/>
        <v>List of relevant laws, regulations, and standards, exist and is maintained</v>
      </c>
      <c r="W133" t="str">
        <f t="shared" si="194"/>
        <v>References</v>
      </c>
      <c r="X133" t="str">
        <f t="shared" si="133"/>
        <v>1.3.4.RX</v>
      </c>
      <c r="Y133" t="str">
        <f>IF(AND(U133&lt;&gt;"",LEFT(U133,1)&lt;&gt;"#"),IF(LEFT(U133,1)="-",REPLACE(U133,1,1,tech!$H$2),U133),"")</f>
        <v/>
      </c>
      <c r="Z133" t="s">
        <v>495</v>
      </c>
      <c r="AA133" s="492"/>
      <c r="AB133" t="str">
        <f t="shared" si="178"/>
        <v>Processes and procedures are reviewed and updated</v>
      </c>
      <c r="AC133" t="str">
        <f t="shared" si="195"/>
        <v>References</v>
      </c>
      <c r="AD133" t="str">
        <f t="shared" si="135"/>
        <v>1.4.5.RX</v>
      </c>
      <c r="AE133" t="str">
        <f>IF(AND(AA133&lt;&gt;"",LEFT(AA133,1)&lt;&gt;"#"),IF(LEFT(AA133,1)="-",REPLACE(AA133,1,1,tech!$H$2),AA133),"")</f>
        <v/>
      </c>
      <c r="AF133" t="s">
        <v>495</v>
      </c>
      <c r="AG133" s="492" t="s">
        <v>763</v>
      </c>
      <c r="AH133" t="str">
        <f t="shared" si="179"/>
        <v>Cryptographic cipher suites and protocols are documented and maintained</v>
      </c>
      <c r="AI133" t="str">
        <f t="shared" si="196"/>
        <v>Assessment</v>
      </c>
      <c r="AJ133" t="str">
        <f t="shared" si="137"/>
        <v>2.1.5.AY</v>
      </c>
      <c r="AK133" t="str">
        <f>IF(AND(AG133&lt;&gt;"",LEFT(AG133,1)&lt;&gt;"#"),IF(LEFT(AG133,1)="-",REPLACE(AG133,1,1,tech!$H$2),AG133),"")</f>
        <v>• Documented encryption management policy</v>
      </c>
      <c r="AL133" t="s">
        <v>495</v>
      </c>
      <c r="AM133" s="492" t="s">
        <v>849</v>
      </c>
      <c r="AN133" t="str">
        <f t="shared" si="180"/>
        <v>Inventory of issued certificates is documented</v>
      </c>
      <c r="AO133" t="str">
        <f t="shared" si="197"/>
        <v>Guidance</v>
      </c>
      <c r="AP133" t="str">
        <f t="shared" si="139"/>
        <v>2.2.4.GY</v>
      </c>
      <c r="AQ133" t="str">
        <f>IF(AND(AM133&lt;&gt;"",LEFT(AM133,1)&lt;&gt;"#"),IF(LEFT(AM133,1)="-",REPLACE(AM133,1,1,tech!$H$2),AM133),"")</f>
        <v>The certificate inventory therefore consists of information related to certificate like certificate attributes, validity and validation information, fingerprint and serial number, trust chain, owner, public key, signature algorithm, certificate type, compliance information, certificate locations, change history, or any other attributes and properties of the certificates that is required.</v>
      </c>
      <c r="AR133" t="s">
        <v>495</v>
      </c>
      <c r="AS133" s="492" t="s">
        <v>913</v>
      </c>
      <c r="AT133" t="str">
        <f t="shared" si="181"/>
        <v>Infrastructure activities are periodically reviewed</v>
      </c>
      <c r="AU133" t="str">
        <f t="shared" si="198"/>
        <v>Guidance</v>
      </c>
      <c r="AV133" t="str">
        <f t="shared" si="141"/>
        <v>2.3.5.GY</v>
      </c>
      <c r="AW133" t="str">
        <f>IF(AND(AS133&lt;&gt;"",LEFT(AS133,1)&lt;&gt;"#"),IF(LEFT(AS133,1)="-",REPLACE(AS133,1,1,tech!$H$2),AS133),"")</f>
        <v>The review can include the following:</v>
      </c>
      <c r="AX133" t="s">
        <v>495</v>
      </c>
      <c r="AY133" s="492" t="s">
        <v>443</v>
      </c>
      <c r="AZ133" t="str">
        <f t="shared" si="182"/>
        <v>Change management and agility is periodically reviewed</v>
      </c>
      <c r="BA133" t="str">
        <f t="shared" si="199"/>
        <v>Guidance</v>
      </c>
      <c r="BB133" t="str">
        <f t="shared" si="143"/>
        <v>2.4.5.GY</v>
      </c>
      <c r="BC133" t="str">
        <f>IF(AND(AY133&lt;&gt;"",LEFT(AY133,1)&lt;&gt;"#"),IF(LEFT(AY133,1)="-",REPLACE(AY133,1,1,tech!$H$2),AY133),"")</f>
        <v>The change management and agility requirements should be periodically reviewed to ensure that they are still valid and relevant. The review should be performed by the responsible personnel and should be documented. A good practice is to review the change management and agility requirements at least once a year, however, the frequency of the review can be different depending on the PKI implementation.</v>
      </c>
      <c r="BD133" t="s">
        <v>495</v>
      </c>
      <c r="BE133" s="492" t="s">
        <v>1042</v>
      </c>
      <c r="BF133" t="str">
        <f t="shared" si="183"/>
        <v>Competence and information sharing</v>
      </c>
      <c r="BG133" t="str">
        <f t="shared" si="200"/>
        <v>Guidance</v>
      </c>
      <c r="BH133" t="str">
        <f t="shared" si="145"/>
        <v>3.1.5.GY</v>
      </c>
      <c r="BI133" t="str">
        <f>IF(AND(BE133&lt;&gt;"",LEFT(BE133,1)&lt;&gt;"#"),IF(LEFT(BE133,1)="-",REPLACE(BE133,1,1,tech!$H$2),BE133),"")</f>
        <v>Organization environments may change over time. The impact of changes can be in various forms, for example:</v>
      </c>
      <c r="BJ133" t="s">
        <v>495</v>
      </c>
      <c r="BK133" s="492"/>
      <c r="BL133" t="str">
        <f t="shared" si="184"/>
        <v>Adoption and application of open standards</v>
      </c>
      <c r="BM133" t="str">
        <f t="shared" si="201"/>
        <v>References</v>
      </c>
      <c r="BN133" t="str">
        <f t="shared" si="147"/>
        <v>3.2.3.RX</v>
      </c>
      <c r="BO133" t="str">
        <f>IF(AND(BK133&lt;&gt;"",LEFT(BK133,1)&lt;&gt;"#"),IF(LEFT(BK133,1)="-",REPLACE(BK133,1,1,tech!$H$2),BK133),"")</f>
        <v/>
      </c>
      <c r="BP133" t="s">
        <v>495</v>
      </c>
      <c r="BQ133" s="492" t="s">
        <v>498</v>
      </c>
      <c r="BR133" t="str">
        <f t="shared" si="185"/>
        <v>Critical events are immediately alerted and resolved according to incident response plans</v>
      </c>
      <c r="BS133" t="str">
        <f t="shared" si="202"/>
        <v>Guidance</v>
      </c>
      <c r="BT133" t="str">
        <f t="shared" si="149"/>
        <v>3.3.5.GX</v>
      </c>
      <c r="BU133" t="str">
        <f>IF(AND(BQ133&lt;&gt;"",LEFT(BQ133,1)&lt;&gt;"#"),IF(LEFT(BQ133,1)="-",REPLACE(BQ133,1,1,tech!$H$2),BQ133),"")</f>
        <v/>
      </c>
      <c r="BV133" t="s">
        <v>495</v>
      </c>
      <c r="BW133" s="492"/>
      <c r="BX133" t="str">
        <f t="shared" si="186"/>
        <v>Incidents and exceptions handling</v>
      </c>
      <c r="BY133" t="str">
        <f t="shared" si="203"/>
        <v>References</v>
      </c>
      <c r="BZ133" t="str">
        <f t="shared" si="151"/>
        <v>3.4.3.RX</v>
      </c>
      <c r="CA133" t="str">
        <f>IF(AND(BW133&lt;&gt;"",LEFT(BW133,1)&lt;&gt;"#"),IF(LEFT(BW133,1)="-",REPLACE(BW133,1,1,tech!$H$2),BW133),"")</f>
        <v/>
      </c>
      <c r="CB133" t="s">
        <v>495</v>
      </c>
      <c r="CC133" s="492"/>
      <c r="CD133" t="str">
        <f t="shared" si="187"/>
        <v>Resources are periodically reviewed</v>
      </c>
      <c r="CE133" t="str">
        <f t="shared" si="204"/>
        <v>References</v>
      </c>
      <c r="CF133" t="str">
        <f t="shared" si="153"/>
        <v>4.1.4.RX</v>
      </c>
      <c r="CG133" t="str">
        <f>IF(AND(CC133&lt;&gt;"",LEFT(CC133,1)&lt;&gt;"#"),IF(LEFT(CC133,1)="-",REPLACE(CC133,1,1,tech!$H$2),CC133),"")</f>
        <v/>
      </c>
      <c r="CH133" t="s">
        <v>495</v>
      </c>
      <c r="CI133" s="492"/>
      <c r="CJ133" t="str">
        <f t="shared" si="188"/>
        <v>Establish education plan</v>
      </c>
      <c r="CK133" t="str">
        <f t="shared" si="205"/>
        <v>Assessment</v>
      </c>
      <c r="CL133" t="str">
        <f t="shared" si="155"/>
        <v>4.2.4.AX</v>
      </c>
      <c r="CM133" t="str">
        <f>IF(AND(CI133&lt;&gt;"",LEFT(CI133,1)&lt;&gt;"#"),IF(LEFT(CI133,1)="-",REPLACE(CI133,1,1,tech!$H$2),CI133),"")</f>
        <v/>
      </c>
      <c r="CN133" t="s">
        <v>495</v>
      </c>
      <c r="CO133" s="492"/>
      <c r="CP133" t="str">
        <f t="shared" si="189"/>
        <v>Timely communication of important information</v>
      </c>
      <c r="CQ133" t="str">
        <f t="shared" si="206"/>
        <v>References</v>
      </c>
      <c r="CR133" t="str">
        <f t="shared" si="157"/>
        <v>4.3.4.RX</v>
      </c>
      <c r="CS133" t="str">
        <f>IF(AND(CO133&lt;&gt;"",LEFT(CO133,1)&lt;&gt;"#"),IF(LEFT(CO133,1)="-",REPLACE(CO133,1,1,tech!$H$2),CO133),"")</f>
        <v/>
      </c>
      <c r="CT133" t="s">
        <v>495</v>
      </c>
    </row>
    <row r="134" spans="3:98" x14ac:dyDescent="0.25">
      <c r="C134" s="492"/>
      <c r="D134" t="str">
        <f t="shared" si="190"/>
        <v>Optimized</v>
      </c>
      <c r="E134" t="str">
        <f t="shared" si="191"/>
        <v>Associated risks</v>
      </c>
      <c r="F134" t="str">
        <f>_xlfn.CONCAT(VLOOKUP(D134,tech!$A$13:$B$17,2,0),LEFT(E134,1),IF(G134="","X","Y"))</f>
        <v>5AX</v>
      </c>
      <c r="G134" t="str">
        <f>IF(IF(LEFT(C134,1)="-",C134,"")="","",REPLACE(IF(LEFT(C134,1)="-",C134,""),1,1,tech!$H$2))</f>
        <v/>
      </c>
      <c r="H134" t="s">
        <v>495</v>
      </c>
      <c r="I134" s="492"/>
      <c r="J134" t="str">
        <f t="shared" si="175"/>
        <v>Architecture and design of the PKI</v>
      </c>
      <c r="K134" t="str">
        <f t="shared" si="192"/>
        <v>References</v>
      </c>
      <c r="L134" t="str">
        <f t="shared" si="129"/>
        <v>1.1.4.RX</v>
      </c>
      <c r="M134" t="str">
        <f>IF(AND(I134&lt;&gt;"",LEFT(I134,1)&lt;&gt;"#"),IF(LEFT(I134,1)="-",REPLACE(I134,1,1,tech!$H$2),I134),"")</f>
        <v/>
      </c>
      <c r="N134" t="s">
        <v>495</v>
      </c>
      <c r="O134" s="492" t="s">
        <v>498</v>
      </c>
      <c r="P134" t="str">
        <f t="shared" si="176"/>
        <v>Policies are periodically reviewed and updated</v>
      </c>
      <c r="Q134" t="str">
        <f t="shared" si="193"/>
        <v>Guidance</v>
      </c>
      <c r="R134" t="str">
        <f t="shared" si="131"/>
        <v>1.2.5.GX</v>
      </c>
      <c r="S134" t="str">
        <f>IF(AND(O134&lt;&gt;"",LEFT(O134,1)&lt;&gt;"#"),IF(LEFT(O134,1)="-",REPLACE(O134,1,1,tech!$H$2),O134),"")</f>
        <v/>
      </c>
      <c r="T134" t="s">
        <v>495</v>
      </c>
      <c r="U134" s="492"/>
      <c r="V134" t="str">
        <f t="shared" si="177"/>
        <v>List of relevant laws, regulations, and standards, exist and is maintained</v>
      </c>
      <c r="W134" t="str">
        <f t="shared" si="194"/>
        <v>References</v>
      </c>
      <c r="X134" t="str">
        <f t="shared" si="133"/>
        <v>1.3.4.RX</v>
      </c>
      <c r="Y134" t="str">
        <f>IF(AND(U134&lt;&gt;"",LEFT(U134,1)&lt;&gt;"#"),IF(LEFT(U134,1)="-",REPLACE(U134,1,1,tech!$H$2),U134),"")</f>
        <v/>
      </c>
      <c r="Z134" t="s">
        <v>495</v>
      </c>
      <c r="AA134" s="492"/>
      <c r="AB134" t="str">
        <f t="shared" si="178"/>
        <v>Processes and procedures are reviewed and updated</v>
      </c>
      <c r="AC134" t="str">
        <f t="shared" si="195"/>
        <v>References</v>
      </c>
      <c r="AD134" t="str">
        <f t="shared" si="135"/>
        <v>1.4.5.RX</v>
      </c>
      <c r="AE134" t="str">
        <f>IF(AND(AA134&lt;&gt;"",LEFT(AA134,1)&lt;&gt;"#"),IF(LEFT(AA134,1)="-",REPLACE(AA134,1,1,tech!$H$2),AA134),"")</f>
        <v/>
      </c>
      <c r="AF134" t="s">
        <v>495</v>
      </c>
      <c r="AG134" s="492" t="s">
        <v>764</v>
      </c>
      <c r="AH134" t="str">
        <f t="shared" si="179"/>
        <v>Cryptographic cipher suites and protocols are documented and maintained</v>
      </c>
      <c r="AI134" t="str">
        <f t="shared" si="196"/>
        <v>Assessment</v>
      </c>
      <c r="AJ134" t="str">
        <f t="shared" si="137"/>
        <v>2.1.5.AY</v>
      </c>
      <c r="AK134" t="str">
        <f>IF(AND(AG134&lt;&gt;"",LEFT(AG134,1)&lt;&gt;"#"),IF(LEFT(AG134,1)="-",REPLACE(AG134,1,1,tech!$H$2),AG134),"")</f>
        <v>• Validation of implementation and used protocols against what is Documented</v>
      </c>
      <c r="AL134" t="s">
        <v>495</v>
      </c>
      <c r="AM134" s="492"/>
      <c r="AN134" t="str">
        <f t="shared" si="180"/>
        <v>Inventory of issued certificates is documented</v>
      </c>
      <c r="AO134" t="str">
        <f t="shared" si="197"/>
        <v>Guidance</v>
      </c>
      <c r="AP134" t="str">
        <f t="shared" si="139"/>
        <v>2.2.4.GX</v>
      </c>
      <c r="AQ134" t="str">
        <f>IF(AND(AM134&lt;&gt;"",LEFT(AM134,1)&lt;&gt;"#"),IF(LEFT(AM134,1)="-",REPLACE(AM134,1,1,tech!$H$2),AM134),"")</f>
        <v/>
      </c>
      <c r="AR134" t="s">
        <v>495</v>
      </c>
      <c r="AS134" s="492" t="s">
        <v>944</v>
      </c>
      <c r="AT134" t="str">
        <f t="shared" si="181"/>
        <v>Infrastructure activities are periodically reviewed</v>
      </c>
      <c r="AU134" t="str">
        <f t="shared" si="198"/>
        <v>Guidance</v>
      </c>
      <c r="AV134" t="str">
        <f t="shared" si="141"/>
        <v>2.3.5.GY</v>
      </c>
      <c r="AW134" t="str">
        <f>IF(AND(AS134&lt;&gt;"",LEFT(AS134,1)&lt;&gt;"#"),IF(LEFT(AS134,1)="-",REPLACE(AS134,1,1,tech!$H$2),AS134),"")</f>
        <v>• changes made to the infrastructure</v>
      </c>
      <c r="AX134" t="s">
        <v>495</v>
      </c>
      <c r="AY134" s="492"/>
      <c r="AZ134" t="str">
        <f t="shared" si="182"/>
        <v>Change management and agility is periodically reviewed</v>
      </c>
      <c r="BA134" t="str">
        <f t="shared" si="199"/>
        <v>Guidance</v>
      </c>
      <c r="BB134" t="str">
        <f t="shared" si="143"/>
        <v>2.4.5.GX</v>
      </c>
      <c r="BC134" t="str">
        <f>IF(AND(AY134&lt;&gt;"",LEFT(AY134,1)&lt;&gt;"#"),IF(LEFT(AY134,1)="-",REPLACE(AY134,1,1,tech!$H$2),AY134),"")</f>
        <v/>
      </c>
      <c r="BD134" t="s">
        <v>495</v>
      </c>
      <c r="BE134" s="492" t="s">
        <v>1043</v>
      </c>
      <c r="BF134" t="str">
        <f t="shared" si="183"/>
        <v>Competence and information sharing</v>
      </c>
      <c r="BG134" t="str">
        <f t="shared" si="200"/>
        <v>Guidance</v>
      </c>
      <c r="BH134" t="str">
        <f t="shared" si="145"/>
        <v>3.1.5.GY</v>
      </c>
      <c r="BI134" t="str">
        <f>IF(AND(BE134&lt;&gt;"",LEFT(BE134,1)&lt;&gt;"#"),IF(LEFT(BE134,1)="-",REPLACE(BE134,1,1,tech!$H$2),BE134),"")</f>
        <v>• personnel can rotate in their positions, new people can be hired, or people can leave the organization</v>
      </c>
      <c r="BJ134" t="s">
        <v>495</v>
      </c>
      <c r="BK134" s="492"/>
      <c r="BL134" t="str">
        <f t="shared" si="184"/>
        <v>Adoption and application of open standards</v>
      </c>
      <c r="BM134" t="str">
        <f t="shared" si="201"/>
        <v>References</v>
      </c>
      <c r="BN134" t="str">
        <f t="shared" si="147"/>
        <v>3.2.3.RX</v>
      </c>
      <c r="BO134" t="str">
        <f>IF(AND(BK134&lt;&gt;"",LEFT(BK134,1)&lt;&gt;"#"),IF(LEFT(BK134,1)="-",REPLACE(BK134,1,1,tech!$H$2),BK134),"")</f>
        <v/>
      </c>
      <c r="BP134" t="s">
        <v>495</v>
      </c>
      <c r="BQ134" s="492"/>
      <c r="BR134" t="str">
        <f t="shared" si="185"/>
        <v>Critical events are immediately alerted and resolved according to incident response plans</v>
      </c>
      <c r="BS134" t="str">
        <f t="shared" si="202"/>
        <v>Guidance</v>
      </c>
      <c r="BT134" t="str">
        <f t="shared" si="149"/>
        <v>3.3.5.GX</v>
      </c>
      <c r="BU134" t="str">
        <f>IF(AND(BQ134&lt;&gt;"",LEFT(BQ134,1)&lt;&gt;"#"),IF(LEFT(BQ134,1)="-",REPLACE(BQ134,1,1,tech!$H$2),BQ134),"")</f>
        <v/>
      </c>
      <c r="BV134" t="s">
        <v>495</v>
      </c>
      <c r="BW134" s="492"/>
      <c r="BX134" t="str">
        <f t="shared" si="186"/>
        <v>Incidents and exceptions handling</v>
      </c>
      <c r="BY134" t="str">
        <f t="shared" si="203"/>
        <v>References</v>
      </c>
      <c r="BZ134" t="str">
        <f t="shared" si="151"/>
        <v>3.4.3.RX</v>
      </c>
      <c r="CA134" t="str">
        <f>IF(AND(BW134&lt;&gt;"",LEFT(BW134,1)&lt;&gt;"#"),IF(LEFT(BW134,1)="-",REPLACE(BW134,1,1,tech!$H$2),BW134),"")</f>
        <v/>
      </c>
      <c r="CB134" t="s">
        <v>495</v>
      </c>
      <c r="CC134" s="492"/>
      <c r="CD134" t="str">
        <f t="shared" si="187"/>
        <v>Resources are periodically reviewed</v>
      </c>
      <c r="CE134" t="str">
        <f t="shared" si="204"/>
        <v>References</v>
      </c>
      <c r="CF134" t="str">
        <f t="shared" si="153"/>
        <v>4.1.4.RX</v>
      </c>
      <c r="CG134" t="str">
        <f>IF(AND(CC134&lt;&gt;"",LEFT(CC134,1)&lt;&gt;"#"),IF(LEFT(CC134,1)="-",REPLACE(CC134,1,1,tech!$H$2),CC134),"")</f>
        <v/>
      </c>
      <c r="CH134" t="s">
        <v>495</v>
      </c>
      <c r="CI134" s="492" t="s">
        <v>503</v>
      </c>
      <c r="CJ134" t="str">
        <f t="shared" si="188"/>
        <v>Establish education plan</v>
      </c>
      <c r="CK134" t="str">
        <f t="shared" si="205"/>
        <v>References</v>
      </c>
      <c r="CL134" t="str">
        <f t="shared" si="155"/>
        <v>4.2.4.RX</v>
      </c>
      <c r="CM134" t="str">
        <f>IF(AND(CI134&lt;&gt;"",LEFT(CI134,1)&lt;&gt;"#"),IF(LEFT(CI134,1)="-",REPLACE(CI134,1,1,tech!$H$2),CI134),"")</f>
        <v/>
      </c>
      <c r="CN134" t="s">
        <v>495</v>
      </c>
      <c r="CO134" s="492"/>
      <c r="CP134" t="str">
        <f t="shared" si="189"/>
        <v>Timely communication of important information</v>
      </c>
      <c r="CQ134" t="str">
        <f t="shared" si="206"/>
        <v>References</v>
      </c>
      <c r="CR134" t="str">
        <f t="shared" si="157"/>
        <v>4.3.4.RX</v>
      </c>
      <c r="CS134" t="str">
        <f>IF(AND(CO134&lt;&gt;"",LEFT(CO134,1)&lt;&gt;"#"),IF(LEFT(CO134,1)="-",REPLACE(CO134,1,1,tech!$H$2),CO134),"")</f>
        <v/>
      </c>
      <c r="CT134" t="s">
        <v>495</v>
      </c>
    </row>
    <row r="135" spans="3:98" x14ac:dyDescent="0.25">
      <c r="C135" s="492"/>
      <c r="D135" t="str">
        <f t="shared" si="190"/>
        <v>Optimized</v>
      </c>
      <c r="E135" t="str">
        <f t="shared" si="191"/>
        <v>Associated risks</v>
      </c>
      <c r="F135" t="str">
        <f>_xlfn.CONCAT(VLOOKUP(D135,tech!$A$13:$B$17,2,0),LEFT(E135,1),IF(G135="","X","Y"))</f>
        <v>5AX</v>
      </c>
      <c r="G135" t="str">
        <f>IF(IF(LEFT(C135,1)="-",C135,"")="","",REPLACE(IF(LEFT(C135,1)="-",C135,""),1,1,tech!$H$2))</f>
        <v/>
      </c>
      <c r="H135" t="s">
        <v>495</v>
      </c>
      <c r="I135" s="492"/>
      <c r="J135" t="str">
        <f t="shared" si="175"/>
        <v>Architecture and design of the PKI</v>
      </c>
      <c r="K135" t="str">
        <f t="shared" si="192"/>
        <v>References</v>
      </c>
      <c r="L135" t="str">
        <f t="shared" si="129"/>
        <v>1.1.4.RX</v>
      </c>
      <c r="M135" t="str">
        <f>IF(AND(I135&lt;&gt;"",LEFT(I135,1)&lt;&gt;"#"),IF(LEFT(I135,1)="-",REPLACE(I135,1,1,tech!$H$2),I135),"")</f>
        <v/>
      </c>
      <c r="N135" t="s">
        <v>495</v>
      </c>
      <c r="O135" s="492"/>
      <c r="P135" t="str">
        <f t="shared" si="176"/>
        <v>Policies are periodically reviewed and updated</v>
      </c>
      <c r="Q135" t="str">
        <f t="shared" si="193"/>
        <v>Guidance</v>
      </c>
      <c r="R135" t="str">
        <f t="shared" si="131"/>
        <v>1.2.5.GX</v>
      </c>
      <c r="S135" t="str">
        <f>IF(AND(O135&lt;&gt;"",LEFT(O135,1)&lt;&gt;"#"),IF(LEFT(O135,1)="-",REPLACE(O135,1,1,tech!$H$2),O135),"")</f>
        <v/>
      </c>
      <c r="T135" t="s">
        <v>495</v>
      </c>
      <c r="U135" s="492"/>
      <c r="V135" t="str">
        <f t="shared" si="177"/>
        <v>List of relevant laws, regulations, and standards, exist and is maintained</v>
      </c>
      <c r="W135" t="str">
        <f t="shared" si="194"/>
        <v>References</v>
      </c>
      <c r="X135" t="str">
        <f t="shared" si="133"/>
        <v>1.3.4.RX</v>
      </c>
      <c r="Y135" t="str">
        <f>IF(AND(U135&lt;&gt;"",LEFT(U135,1)&lt;&gt;"#"),IF(LEFT(U135,1)="-",REPLACE(U135,1,1,tech!$H$2),U135),"")</f>
        <v/>
      </c>
      <c r="Z135" t="s">
        <v>495</v>
      </c>
      <c r="AA135" s="492"/>
      <c r="AB135" t="str">
        <f t="shared" si="178"/>
        <v>Processes and procedures are reviewed and updated</v>
      </c>
      <c r="AC135" t="str">
        <f t="shared" si="195"/>
        <v>References</v>
      </c>
      <c r="AD135" t="str">
        <f t="shared" si="135"/>
        <v>1.4.5.RX</v>
      </c>
      <c r="AE135" t="str">
        <f>IF(AND(AA135&lt;&gt;"",LEFT(AA135,1)&lt;&gt;"#"),IF(LEFT(AA135,1)="-",REPLACE(AA135,1,1,tech!$H$2),AA135),"")</f>
        <v/>
      </c>
      <c r="AF135" t="s">
        <v>495</v>
      </c>
      <c r="AG135" s="492" t="s">
        <v>765</v>
      </c>
      <c r="AH135" t="str">
        <f t="shared" si="179"/>
        <v>Cryptographic cipher suites and protocols are documented and maintained</v>
      </c>
      <c r="AI135" t="str">
        <f t="shared" si="196"/>
        <v>Assessment</v>
      </c>
      <c r="AJ135" t="str">
        <f t="shared" si="137"/>
        <v>2.1.5.AY</v>
      </c>
      <c r="AK135" t="str">
        <f>IF(AND(AG135&lt;&gt;"",LEFT(AG135,1)&lt;&gt;"#"),IF(LEFT(AG135,1)="-",REPLACE(AG135,1,1,tech!$H$2),AG135),"")</f>
        <v>• Accuracy of the description</v>
      </c>
      <c r="AL135" t="s">
        <v>495</v>
      </c>
      <c r="AM135" s="492" t="s">
        <v>501</v>
      </c>
      <c r="AN135" t="str">
        <f t="shared" si="180"/>
        <v>Inventory of issued certificates is documented</v>
      </c>
      <c r="AO135" t="str">
        <f t="shared" si="197"/>
        <v>Assessment</v>
      </c>
      <c r="AP135" t="str">
        <f t="shared" si="139"/>
        <v>2.2.4.AX</v>
      </c>
      <c r="AQ135" t="str">
        <f>IF(AND(AM135&lt;&gt;"",LEFT(AM135,1)&lt;&gt;"#"),IF(LEFT(AM135,1)="-",REPLACE(AM135,1,1,tech!$H$2),AM135),"")</f>
        <v/>
      </c>
      <c r="AR135" t="s">
        <v>495</v>
      </c>
      <c r="AS135" s="492" t="s">
        <v>945</v>
      </c>
      <c r="AT135" t="str">
        <f t="shared" si="181"/>
        <v>Infrastructure activities are periodically reviewed</v>
      </c>
      <c r="AU135" t="str">
        <f t="shared" si="198"/>
        <v>Guidance</v>
      </c>
      <c r="AV135" t="str">
        <f t="shared" si="141"/>
        <v>2.3.5.GY</v>
      </c>
      <c r="AW135" t="str">
        <f>IF(AND(AS135&lt;&gt;"",LEFT(AS135,1)&lt;&gt;"#"),IF(LEFT(AS135,1)="-",REPLACE(AS135,1,1,tech!$H$2),AS135),"")</f>
        <v>• Regular checks of firewall rules</v>
      </c>
      <c r="AX135" t="s">
        <v>495</v>
      </c>
      <c r="AY135" s="492" t="s">
        <v>501</v>
      </c>
      <c r="AZ135" t="str">
        <f t="shared" si="182"/>
        <v>Change management and agility is periodically reviewed</v>
      </c>
      <c r="BA135" t="str">
        <f t="shared" si="199"/>
        <v>Assessment</v>
      </c>
      <c r="BB135" t="str">
        <f t="shared" si="143"/>
        <v>2.4.5.AX</v>
      </c>
      <c r="BC135" t="str">
        <f>IF(AND(AY135&lt;&gt;"",LEFT(AY135,1)&lt;&gt;"#"),IF(LEFT(AY135,1)="-",REPLACE(AY135,1,1,tech!$H$2),AY135),"")</f>
        <v/>
      </c>
      <c r="BD135" t="s">
        <v>495</v>
      </c>
      <c r="BE135" s="492" t="s">
        <v>1044</v>
      </c>
      <c r="BF135" t="str">
        <f t="shared" si="183"/>
        <v>Competence and information sharing</v>
      </c>
      <c r="BG135" t="str">
        <f t="shared" si="200"/>
        <v>Guidance</v>
      </c>
      <c r="BH135" t="str">
        <f t="shared" si="145"/>
        <v>3.1.5.GY</v>
      </c>
      <c r="BI135" t="str">
        <f>IF(AND(BE135&lt;&gt;"",LEFT(BE135,1)&lt;&gt;"#"),IF(LEFT(BE135,1)="-",REPLACE(BE135,1,1,tech!$H$2),BE135),"")</f>
        <v>• technologies are changing, therefore required skills and knowledge may change</v>
      </c>
      <c r="BJ135" t="s">
        <v>495</v>
      </c>
      <c r="BK135" s="492"/>
      <c r="BL135" t="str">
        <f t="shared" si="184"/>
        <v>Adoption and application of open standards</v>
      </c>
      <c r="BM135" t="str">
        <f t="shared" si="201"/>
        <v>References</v>
      </c>
      <c r="BN135" t="str">
        <f t="shared" si="147"/>
        <v>3.2.3.RX</v>
      </c>
      <c r="BO135" t="str">
        <f>IF(AND(BK135&lt;&gt;"",LEFT(BK135,1)&lt;&gt;"#"),IF(LEFT(BK135,1)="-",REPLACE(BK135,1,1,tech!$H$2),BK135),"")</f>
        <v/>
      </c>
      <c r="BP135" t="s">
        <v>495</v>
      </c>
      <c r="BQ135" s="492" t="s">
        <v>1165</v>
      </c>
      <c r="BR135" t="str">
        <f t="shared" si="185"/>
        <v>Critical events are immediately alerted and resolved according to incident response plans</v>
      </c>
      <c r="BS135" t="str">
        <f t="shared" si="202"/>
        <v>Guidance</v>
      </c>
      <c r="BT135" t="str">
        <f t="shared" si="149"/>
        <v>3.3.5.GY</v>
      </c>
      <c r="BU135" t="str">
        <f>IF(AND(BQ135&lt;&gt;"",LEFT(BQ135,1)&lt;&gt;"#"),IF(LEFT(BQ135,1)="-",REPLACE(BQ135,1,1,tech!$H$2),BQ135),"")</f>
        <v xml:space="preserve">Critical events should be immediately alerted and resolved according to incident response plans. Monitoring implementation should ensure that critical events are detected and alerted in a timely manner. This can be done manually or in an automated way. </v>
      </c>
      <c r="BV135" t="s">
        <v>495</v>
      </c>
      <c r="BW135" s="492"/>
      <c r="BX135" t="str">
        <f t="shared" si="186"/>
        <v>Incidents and exceptions handling</v>
      </c>
      <c r="BY135" t="str">
        <f t="shared" si="203"/>
        <v>References</v>
      </c>
      <c r="BZ135" t="str">
        <f t="shared" si="151"/>
        <v>3.4.3.RX</v>
      </c>
      <c r="CA135" t="str">
        <f>IF(AND(BW135&lt;&gt;"",LEFT(BW135,1)&lt;&gt;"#"),IF(LEFT(BW135,1)="-",REPLACE(BW135,1,1,tech!$H$2),BW135),"")</f>
        <v/>
      </c>
      <c r="CB135" t="s">
        <v>495</v>
      </c>
      <c r="CC135" s="492"/>
      <c r="CD135" t="str">
        <f t="shared" si="187"/>
        <v>Resources are periodically reviewed</v>
      </c>
      <c r="CE135" t="str">
        <f t="shared" si="204"/>
        <v>References</v>
      </c>
      <c r="CF135" t="str">
        <f t="shared" si="153"/>
        <v>4.1.4.RX</v>
      </c>
      <c r="CG135" t="str">
        <f>IF(AND(CC135&lt;&gt;"",LEFT(CC135,1)&lt;&gt;"#"),IF(LEFT(CC135,1)="-",REPLACE(CC135,1,1,tech!$H$2),CC135),"")</f>
        <v/>
      </c>
      <c r="CH135" t="s">
        <v>495</v>
      </c>
      <c r="CI135" s="492"/>
      <c r="CJ135" t="str">
        <f t="shared" si="188"/>
        <v>Establish education plan</v>
      </c>
      <c r="CK135" t="str">
        <f t="shared" si="205"/>
        <v>References</v>
      </c>
      <c r="CL135" t="str">
        <f t="shared" si="155"/>
        <v>4.2.4.RX</v>
      </c>
      <c r="CM135" t="str">
        <f>IF(AND(CI135&lt;&gt;"",LEFT(CI135,1)&lt;&gt;"#"),IF(LEFT(CI135,1)="-",REPLACE(CI135,1,1,tech!$H$2),CI135),"")</f>
        <v/>
      </c>
      <c r="CN135" t="s">
        <v>495</v>
      </c>
      <c r="CO135" s="492"/>
      <c r="CP135" t="str">
        <f t="shared" si="189"/>
        <v>Timely communication of important information</v>
      </c>
      <c r="CQ135" t="str">
        <f t="shared" si="206"/>
        <v>References</v>
      </c>
      <c r="CR135" t="str">
        <f t="shared" si="157"/>
        <v>4.3.4.RX</v>
      </c>
      <c r="CS135" t="str">
        <f>IF(AND(CO135&lt;&gt;"",LEFT(CO135,1)&lt;&gt;"#"),IF(LEFT(CO135,1)="-",REPLACE(CO135,1,1,tech!$H$2),CO135),"")</f>
        <v/>
      </c>
      <c r="CT135" t="s">
        <v>495</v>
      </c>
    </row>
    <row r="136" spans="3:98" x14ac:dyDescent="0.25">
      <c r="C136" s="492"/>
      <c r="D136" t="str">
        <f t="shared" si="190"/>
        <v>Optimized</v>
      </c>
      <c r="E136" t="str">
        <f t="shared" si="191"/>
        <v>Associated risks</v>
      </c>
      <c r="F136" t="str">
        <f>_xlfn.CONCAT(VLOOKUP(D136,tech!$A$13:$B$17,2,0),LEFT(E136,1),IF(G136="","X","Y"))</f>
        <v>5AX</v>
      </c>
      <c r="G136" t="str">
        <f>IF(IF(LEFT(C136,1)="-",C136,"")="","",REPLACE(IF(LEFT(C136,1)="-",C136,""),1,1,tech!$H$2))</f>
        <v/>
      </c>
      <c r="H136" t="s">
        <v>495</v>
      </c>
      <c r="I136" s="492"/>
      <c r="J136" t="str">
        <f t="shared" si="175"/>
        <v>Architecture and design of the PKI</v>
      </c>
      <c r="K136" t="str">
        <f t="shared" si="192"/>
        <v>References</v>
      </c>
      <c r="L136" t="str">
        <f t="shared" si="129"/>
        <v>1.1.4.RX</v>
      </c>
      <c r="M136" t="str">
        <f>IF(AND(I136&lt;&gt;"",LEFT(I136,1)&lt;&gt;"#"),IF(LEFT(I136,1)="-",REPLACE(I136,1,1,tech!$H$2),I136),"")</f>
        <v/>
      </c>
      <c r="N136" t="s">
        <v>495</v>
      </c>
      <c r="O136" s="492" t="s">
        <v>411</v>
      </c>
      <c r="P136" t="str">
        <f t="shared" si="176"/>
        <v>Policies are periodically reviewed and updated</v>
      </c>
      <c r="Q136" t="str">
        <f t="shared" si="193"/>
        <v>Guidance</v>
      </c>
      <c r="R136" t="str">
        <f t="shared" si="131"/>
        <v>1.2.5.GY</v>
      </c>
      <c r="S136" t="str">
        <f>IF(AND(O136&lt;&gt;"",LEFT(O136,1)&lt;&gt;"#"),IF(LEFT(O136,1)="-",REPLACE(O136,1,1,tech!$H$2),O136),"")</f>
        <v>Policies are living documents that are continuously updated and changed as technologies, security, and compliance requirements change. The policies should be reviewed and updated periodically. The frequency of review should be determined by the organization. Good practice is to review policies at least annually or when there are significant changes in the PKI or its environment.</v>
      </c>
      <c r="T136" t="s">
        <v>495</v>
      </c>
      <c r="U136" s="492"/>
      <c r="V136" t="str">
        <f t="shared" si="177"/>
        <v>List of relevant laws, regulations, and standards, exist and is maintained</v>
      </c>
      <c r="W136" t="str">
        <f t="shared" si="194"/>
        <v>References</v>
      </c>
      <c r="X136" t="str">
        <f t="shared" si="133"/>
        <v>1.3.4.RX</v>
      </c>
      <c r="Y136" t="str">
        <f>IF(AND(U136&lt;&gt;"",LEFT(U136,1)&lt;&gt;"#"),IF(LEFT(U136,1)="-",REPLACE(U136,1,1,tech!$H$2),U136),"")</f>
        <v/>
      </c>
      <c r="Z136" t="s">
        <v>495</v>
      </c>
      <c r="AA136" s="492"/>
      <c r="AB136" t="str">
        <f t="shared" si="178"/>
        <v>Processes and procedures are reviewed and updated</v>
      </c>
      <c r="AC136" t="str">
        <f t="shared" si="195"/>
        <v>References</v>
      </c>
      <c r="AD136" t="str">
        <f t="shared" si="135"/>
        <v>1.4.5.RX</v>
      </c>
      <c r="AE136" t="str">
        <f>IF(AND(AA136&lt;&gt;"",LEFT(AA136,1)&lt;&gt;"#"),IF(LEFT(AA136,1)="-",REPLACE(AA136,1,1,tech!$H$2),AA136),"")</f>
        <v/>
      </c>
      <c r="AF136" t="s">
        <v>495</v>
      </c>
      <c r="AG136" s="492" t="s">
        <v>766</v>
      </c>
      <c r="AH136" t="str">
        <f t="shared" si="179"/>
        <v>Cryptographic cipher suites and protocols are documented and maintained</v>
      </c>
      <c r="AI136" t="str">
        <f t="shared" si="196"/>
        <v>Assessment</v>
      </c>
      <c r="AJ136" t="str">
        <f t="shared" si="137"/>
        <v>2.1.5.AY</v>
      </c>
      <c r="AK136" t="str">
        <f>IF(AND(AG136&lt;&gt;"",LEFT(AG136,1)&lt;&gt;"#"),IF(LEFT(AG136,1)="-",REPLACE(AG136,1,1,tech!$H$2),AG136),"")</f>
        <v>• Security and vulnerabilities of applicable cipher suites and protocols</v>
      </c>
      <c r="AL136" t="s">
        <v>495</v>
      </c>
      <c r="AM136" s="492"/>
      <c r="AN136" t="str">
        <f t="shared" si="180"/>
        <v>Inventory of issued certificates is documented</v>
      </c>
      <c r="AO136" t="str">
        <f t="shared" si="197"/>
        <v>Assessment</v>
      </c>
      <c r="AP136" t="str">
        <f t="shared" si="139"/>
        <v>2.2.4.AX</v>
      </c>
      <c r="AQ136" t="str">
        <f>IF(AND(AM136&lt;&gt;"",LEFT(AM136,1)&lt;&gt;"#"),IF(LEFT(AM136,1)="-",REPLACE(AM136,1,1,tech!$H$2),AM136),"")</f>
        <v/>
      </c>
      <c r="AR136" t="s">
        <v>495</v>
      </c>
      <c r="AS136" s="492" t="s">
        <v>946</v>
      </c>
      <c r="AT136" t="str">
        <f t="shared" si="181"/>
        <v>Infrastructure activities are periodically reviewed</v>
      </c>
      <c r="AU136" t="str">
        <f t="shared" si="198"/>
        <v>Guidance</v>
      </c>
      <c r="AV136" t="str">
        <f t="shared" si="141"/>
        <v>2.3.5.GY</v>
      </c>
      <c r="AW136" t="str">
        <f>IF(AND(AS136&lt;&gt;"",LEFT(AS136,1)&lt;&gt;"#"),IF(LEFT(AS136,1)="-",REPLACE(AS136,1,1,tech!$H$2),AS136),"")</f>
        <v>• Review of the network topology</v>
      </c>
      <c r="AX136" t="s">
        <v>495</v>
      </c>
      <c r="AY136" s="492"/>
      <c r="AZ136" t="str">
        <f t="shared" si="182"/>
        <v>Change management and agility is periodically reviewed</v>
      </c>
      <c r="BA136" t="str">
        <f t="shared" si="199"/>
        <v>Assessment</v>
      </c>
      <c r="BB136" t="str">
        <f t="shared" si="143"/>
        <v>2.4.5.AX</v>
      </c>
      <c r="BC136" t="str">
        <f>IF(AND(AY136&lt;&gt;"",LEFT(AY136,1)&lt;&gt;"#"),IF(LEFT(AY136,1)="-",REPLACE(AY136,1,1,tech!$H$2),AY136),"")</f>
        <v/>
      </c>
      <c r="BD136" t="s">
        <v>495</v>
      </c>
      <c r="BE136" s="492" t="s">
        <v>1082</v>
      </c>
      <c r="BF136" t="str">
        <f t="shared" si="183"/>
        <v>Competence and information sharing</v>
      </c>
      <c r="BG136" t="str">
        <f t="shared" si="200"/>
        <v>Guidance</v>
      </c>
      <c r="BH136" t="str">
        <f t="shared" si="145"/>
        <v>3.1.5.GY</v>
      </c>
      <c r="BI136" t="str">
        <f>IF(AND(BE136&lt;&gt;"",LEFT(BE136,1)&lt;&gt;"#"),IF(LEFT(BE136,1)="-",REPLACE(BE136,1,1,tech!$H$2),BE136),"")</f>
        <v>• procedures and eventually management of the PKI will be adjusted</v>
      </c>
      <c r="BJ136" t="s">
        <v>495</v>
      </c>
      <c r="BK136" s="492"/>
      <c r="BL136" t="str">
        <f t="shared" si="184"/>
        <v>Adoption and application of open standards</v>
      </c>
      <c r="BM136" t="str">
        <f t="shared" si="201"/>
        <v>References</v>
      </c>
      <c r="BN136" t="str">
        <f t="shared" si="147"/>
        <v>3.2.3.RX</v>
      </c>
      <c r="BO136" t="str">
        <f>IF(AND(BK136&lt;&gt;"",LEFT(BK136,1)&lt;&gt;"#"),IF(LEFT(BK136,1)="-",REPLACE(BK136,1,1,tech!$H$2),BK136),"")</f>
        <v/>
      </c>
      <c r="BP136" t="s">
        <v>495</v>
      </c>
      <c r="BQ136" s="492"/>
      <c r="BR136" t="str">
        <f t="shared" si="185"/>
        <v>Critical events are immediately alerted and resolved according to incident response plans</v>
      </c>
      <c r="BS136" t="str">
        <f t="shared" si="202"/>
        <v>Guidance</v>
      </c>
      <c r="BT136" t="str">
        <f t="shared" si="149"/>
        <v>3.3.5.GX</v>
      </c>
      <c r="BU136" t="str">
        <f>IF(AND(BQ136&lt;&gt;"",LEFT(BQ136,1)&lt;&gt;"#"),IF(LEFT(BQ136,1)="-",REPLACE(BQ136,1,1,tech!$H$2),BQ136),"")</f>
        <v/>
      </c>
      <c r="BV136" t="s">
        <v>495</v>
      </c>
      <c r="BW136" s="492"/>
      <c r="BX136" t="str">
        <f t="shared" si="186"/>
        <v>Incidents and exceptions handling</v>
      </c>
      <c r="BY136" t="str">
        <f t="shared" si="203"/>
        <v>References</v>
      </c>
      <c r="BZ136" t="str">
        <f t="shared" si="151"/>
        <v>3.4.3.RX</v>
      </c>
      <c r="CA136" t="str">
        <f>IF(AND(BW136&lt;&gt;"",LEFT(BW136,1)&lt;&gt;"#"),IF(LEFT(BW136,1)="-",REPLACE(BW136,1,1,tech!$H$2),BW136),"")</f>
        <v/>
      </c>
      <c r="CB136" t="s">
        <v>495</v>
      </c>
      <c r="CC136" s="492"/>
      <c r="CD136" t="str">
        <f t="shared" si="187"/>
        <v>Resources are periodically reviewed</v>
      </c>
      <c r="CE136" t="str">
        <f t="shared" si="204"/>
        <v>References</v>
      </c>
      <c r="CF136" t="str">
        <f t="shared" si="153"/>
        <v>4.1.4.RX</v>
      </c>
      <c r="CG136" t="str">
        <f>IF(AND(CC136&lt;&gt;"",LEFT(CC136,1)&lt;&gt;"#"),IF(LEFT(CC136,1)="-",REPLACE(CC136,1,1,tech!$H$2),CC136),"")</f>
        <v/>
      </c>
      <c r="CH136" t="s">
        <v>495</v>
      </c>
      <c r="CI136" s="492" t="s">
        <v>1294</v>
      </c>
      <c r="CJ136" t="str">
        <f t="shared" si="188"/>
        <v>Establish education plan</v>
      </c>
      <c r="CK136" t="str">
        <f t="shared" si="205"/>
        <v>References</v>
      </c>
      <c r="CL136" t="str">
        <f t="shared" si="155"/>
        <v>4.2.4.RY</v>
      </c>
      <c r="CM136" t="str">
        <f>IF(AND(CI136&lt;&gt;"",LEFT(CI136,1)&lt;&gt;"#"),IF(LEFT(CI136,1)="-",REPLACE(CI136,1,1,tech!$H$2),CI136),"")</f>
        <v>• [NIST SP 800-16 Information Technology Security Training Requirements: a Role- and Performance-Based Model](https://csrc.nist.gov/publications/detail/sp/800-16/final)</v>
      </c>
      <c r="CN136" t="s">
        <v>495</v>
      </c>
      <c r="CO136" s="492"/>
      <c r="CP136" t="str">
        <f t="shared" si="189"/>
        <v>Timely communication of important information</v>
      </c>
      <c r="CQ136" t="str">
        <f t="shared" si="206"/>
        <v>References</v>
      </c>
      <c r="CR136" t="str">
        <f t="shared" si="157"/>
        <v>4.3.4.RX</v>
      </c>
      <c r="CS136" t="str">
        <f>IF(AND(CO136&lt;&gt;"",LEFT(CO136,1)&lt;&gt;"#"),IF(LEFT(CO136,1)="-",REPLACE(CO136,1,1,tech!$H$2),CO136),"")</f>
        <v/>
      </c>
      <c r="CT136" t="s">
        <v>495</v>
      </c>
    </row>
    <row r="137" spans="3:98" x14ac:dyDescent="0.25">
      <c r="C137" s="492"/>
      <c r="D137" t="str">
        <f t="shared" si="190"/>
        <v>Optimized</v>
      </c>
      <c r="E137" t="str">
        <f t="shared" si="191"/>
        <v>Associated risks</v>
      </c>
      <c r="F137" t="str">
        <f>_xlfn.CONCAT(VLOOKUP(D137,tech!$A$13:$B$17,2,0),LEFT(E137,1),IF(G137="","X","Y"))</f>
        <v>5AX</v>
      </c>
      <c r="G137" t="str">
        <f>IF(IF(LEFT(C137,1)="-",C137,"")="","",REPLACE(IF(LEFT(C137,1)="-",C137,""),1,1,tech!$H$2))</f>
        <v/>
      </c>
      <c r="H137" t="s">
        <v>495</v>
      </c>
      <c r="I137" s="492"/>
      <c r="J137" t="str">
        <f t="shared" si="175"/>
        <v>Architecture and design of the PKI</v>
      </c>
      <c r="K137" t="str">
        <f t="shared" si="192"/>
        <v>References</v>
      </c>
      <c r="L137" t="str">
        <f t="shared" si="129"/>
        <v>1.1.4.RX</v>
      </c>
      <c r="M137" t="str">
        <f>IF(AND(I137&lt;&gt;"",LEFT(I137,1)&lt;&gt;"#"),IF(LEFT(I137,1)="-",REPLACE(I137,1,1,tech!$H$2),I137),"")</f>
        <v/>
      </c>
      <c r="N137" t="s">
        <v>495</v>
      </c>
      <c r="O137" s="492"/>
      <c r="P137" t="str">
        <f t="shared" si="176"/>
        <v>Policies are periodically reviewed and updated</v>
      </c>
      <c r="Q137" t="str">
        <f t="shared" si="193"/>
        <v>Guidance</v>
      </c>
      <c r="R137" t="str">
        <f t="shared" si="131"/>
        <v>1.2.5.GX</v>
      </c>
      <c r="S137" t="str">
        <f>IF(AND(O137&lt;&gt;"",LEFT(O137,1)&lt;&gt;"#"),IF(LEFT(O137,1)="-",REPLACE(O137,1,1,tech!$H$2),O137),"")</f>
        <v/>
      </c>
      <c r="T137" t="s">
        <v>495</v>
      </c>
      <c r="U137" s="492"/>
      <c r="V137" t="str">
        <f t="shared" si="177"/>
        <v>List of relevant laws, regulations, and standards, exist and is maintained</v>
      </c>
      <c r="W137" t="str">
        <f t="shared" si="194"/>
        <v>References</v>
      </c>
      <c r="X137" t="str">
        <f t="shared" si="133"/>
        <v>1.3.4.RX</v>
      </c>
      <c r="Y137" t="str">
        <f>IF(AND(U137&lt;&gt;"",LEFT(U137,1)&lt;&gt;"#"),IF(LEFT(U137,1)="-",REPLACE(U137,1,1,tech!$H$2),U137),"")</f>
        <v/>
      </c>
      <c r="Z137" t="s">
        <v>495</v>
      </c>
      <c r="AA137" s="492"/>
      <c r="AB137" t="str">
        <f t="shared" si="178"/>
        <v>Processes and procedures are reviewed and updated</v>
      </c>
      <c r="AC137" t="str">
        <f t="shared" si="195"/>
        <v>References</v>
      </c>
      <c r="AD137" t="str">
        <f t="shared" si="135"/>
        <v>1.4.5.RX</v>
      </c>
      <c r="AE137" t="str">
        <f>IF(AND(AA137&lt;&gt;"",LEFT(AA137,1)&lt;&gt;"#"),IF(LEFT(AA137,1)="-",REPLACE(AA137,1,1,tech!$H$2),AA137),"")</f>
        <v/>
      </c>
      <c r="AF137" t="s">
        <v>495</v>
      </c>
      <c r="AG137" s="492"/>
      <c r="AH137" t="str">
        <f t="shared" si="179"/>
        <v>Cryptographic cipher suites and protocols are documented and maintained</v>
      </c>
      <c r="AI137" t="str">
        <f t="shared" si="196"/>
        <v>Assessment</v>
      </c>
      <c r="AJ137" t="str">
        <f t="shared" si="137"/>
        <v>2.1.5.AX</v>
      </c>
      <c r="AK137" t="str">
        <f>IF(AND(AG137&lt;&gt;"",LEFT(AG137,1)&lt;&gt;"#"),IF(LEFT(AG137,1)="-",REPLACE(AG137,1,1,tech!$H$2),AG137),"")</f>
        <v/>
      </c>
      <c r="AL137" t="s">
        <v>495</v>
      </c>
      <c r="AM137" s="492" t="s">
        <v>850</v>
      </c>
      <c r="AN137" t="str">
        <f t="shared" si="180"/>
        <v>Inventory of issued certificates is documented</v>
      </c>
      <c r="AO137" t="str">
        <f t="shared" si="197"/>
        <v>Assessment</v>
      </c>
      <c r="AP137" t="str">
        <f t="shared" si="139"/>
        <v>2.2.4.AY</v>
      </c>
      <c r="AQ137" t="str">
        <f>IF(AND(AM137&lt;&gt;"",LEFT(AM137,1)&lt;&gt;"#"),IF(LEFT(AM137,1)="-",REPLACE(AM137,1,1,tech!$H$2),AM137),"")</f>
        <v>* Documented inventory</v>
      </c>
      <c r="AR137" t="s">
        <v>495</v>
      </c>
      <c r="AS137" s="492" t="s">
        <v>947</v>
      </c>
      <c r="AT137" t="str">
        <f t="shared" si="181"/>
        <v>Infrastructure activities are periodically reviewed</v>
      </c>
      <c r="AU137" t="str">
        <f t="shared" si="198"/>
        <v>Guidance</v>
      </c>
      <c r="AV137" t="str">
        <f t="shared" si="141"/>
        <v>2.3.5.GY</v>
      </c>
      <c r="AW137" t="str">
        <f>IF(AND(AS137&lt;&gt;"",LEFT(AS137,1)&lt;&gt;"#"),IF(LEFT(AS137,1)="-",REPLACE(AS137,1,1,tech!$H$2),AS137),"")</f>
        <v>• Review of the network segmentation</v>
      </c>
      <c r="AX137" t="s">
        <v>495</v>
      </c>
      <c r="AY137" s="492" t="s">
        <v>1009</v>
      </c>
      <c r="AZ137" t="str">
        <f t="shared" si="182"/>
        <v>Change management and agility is periodically reviewed</v>
      </c>
      <c r="BA137" t="str">
        <f t="shared" si="199"/>
        <v>Assessment</v>
      </c>
      <c r="BB137" t="str">
        <f t="shared" si="143"/>
        <v>2.4.5.AY</v>
      </c>
      <c r="BC137" t="str">
        <f>IF(AND(AY137&lt;&gt;"",LEFT(AY137,1)&lt;&gt;"#"),IF(LEFT(AY137,1)="-",REPLACE(AY137,1,1,tech!$H$2),AY137),"")</f>
        <v>• change management Review frequency</v>
      </c>
      <c r="BD137" t="s">
        <v>495</v>
      </c>
      <c r="BE137" s="492"/>
      <c r="BF137" t="str">
        <f t="shared" si="183"/>
        <v>Competence and information sharing</v>
      </c>
      <c r="BG137" t="str">
        <f t="shared" si="200"/>
        <v>Guidance</v>
      </c>
      <c r="BH137" t="str">
        <f t="shared" si="145"/>
        <v>3.1.5.GY</v>
      </c>
      <c r="BI137" t="str">
        <f>IF(AND(BE137&lt;&gt;"",LEFT(BE137,1)&lt;&gt;"#"),IF(LEFT(BE137,1)="-",REPLACE(BE137,1,1,tech!$H$2),BE137),"")</f>
        <v/>
      </c>
      <c r="BJ137" t="s">
        <v>495</v>
      </c>
      <c r="BK137" s="492"/>
      <c r="BL137" t="str">
        <f t="shared" si="184"/>
        <v>Adoption and application of open standards</v>
      </c>
      <c r="BM137" t="str">
        <f t="shared" si="201"/>
        <v>References</v>
      </c>
      <c r="BN137" t="str">
        <f t="shared" si="147"/>
        <v>3.2.3.RX</v>
      </c>
      <c r="BO137" t="str">
        <f>IF(AND(BK137&lt;&gt;"",LEFT(BK137,1)&lt;&gt;"#"),IF(LEFT(BK137,1)="-",REPLACE(BK137,1,1,tech!$H$2),BK137),"")</f>
        <v/>
      </c>
      <c r="BP137" t="s">
        <v>495</v>
      </c>
      <c r="BQ137" s="492" t="s">
        <v>501</v>
      </c>
      <c r="BR137" t="str">
        <f t="shared" si="185"/>
        <v>Critical events are immediately alerted and resolved according to incident response plans</v>
      </c>
      <c r="BS137" t="str">
        <f t="shared" si="202"/>
        <v>Assessment</v>
      </c>
      <c r="BT137" t="str">
        <f t="shared" si="149"/>
        <v>3.3.5.AX</v>
      </c>
      <c r="BU137" t="str">
        <f>IF(AND(BQ137&lt;&gt;"",LEFT(BQ137,1)&lt;&gt;"#"),IF(LEFT(BQ137,1)="-",REPLACE(BQ137,1,1,tech!$H$2),BQ137),"")</f>
        <v/>
      </c>
      <c r="BV137" t="s">
        <v>495</v>
      </c>
      <c r="BW137" s="492"/>
      <c r="BX137" t="str">
        <f t="shared" si="186"/>
        <v>Incidents and exceptions handling</v>
      </c>
      <c r="BY137" t="str">
        <f t="shared" si="203"/>
        <v>References</v>
      </c>
      <c r="BZ137" t="str">
        <f t="shared" si="151"/>
        <v>3.4.3.RX</v>
      </c>
      <c r="CA137" t="str">
        <f>IF(AND(BW137&lt;&gt;"",LEFT(BW137,1)&lt;&gt;"#"),IF(LEFT(BW137,1)="-",REPLACE(BW137,1,1,tech!$H$2),BW137),"")</f>
        <v/>
      </c>
      <c r="CB137" t="s">
        <v>495</v>
      </c>
      <c r="CC137" s="492"/>
      <c r="CD137" t="str">
        <f t="shared" si="187"/>
        <v>Resources are periodically reviewed</v>
      </c>
      <c r="CE137" t="str">
        <f t="shared" si="204"/>
        <v>References</v>
      </c>
      <c r="CF137" t="str">
        <f t="shared" si="153"/>
        <v>4.1.4.RX</v>
      </c>
      <c r="CG137" t="str">
        <f>IF(AND(CC137&lt;&gt;"",LEFT(CC137,1)&lt;&gt;"#"),IF(LEFT(CC137,1)="-",REPLACE(CC137,1,1,tech!$H$2),CC137),"")</f>
        <v/>
      </c>
      <c r="CH137" t="s">
        <v>495</v>
      </c>
      <c r="CI137" s="492" t="s">
        <v>1295</v>
      </c>
      <c r="CJ137" t="str">
        <f t="shared" si="188"/>
        <v>Establish education plan</v>
      </c>
      <c r="CK137" t="str">
        <f t="shared" si="205"/>
        <v>References</v>
      </c>
      <c r="CL137" t="str">
        <f t="shared" si="155"/>
        <v>4.2.4.RY</v>
      </c>
      <c r="CM137" t="str">
        <f>IF(AND(CI137&lt;&gt;"",LEFT(CI137,1)&lt;&gt;"#"),IF(LEFT(CI137,1)="-",REPLACE(CI137,1,1,tech!$H$2),CI137),"")</f>
        <v>• [NIST SP 800-50 Building an Information Technology Security Awareness and Training Program](https://csrc.nist.gov/publications/detail/sp/800-50/final)</v>
      </c>
      <c r="CN137" t="s">
        <v>495</v>
      </c>
      <c r="CO137" s="492"/>
      <c r="CP137" t="str">
        <f t="shared" si="189"/>
        <v>Timely communication of important information</v>
      </c>
      <c r="CQ137" t="str">
        <f t="shared" si="206"/>
        <v>References</v>
      </c>
      <c r="CR137" t="str">
        <f t="shared" si="157"/>
        <v>4.3.4.RX</v>
      </c>
      <c r="CS137" t="str">
        <f>IF(AND(CO137&lt;&gt;"",LEFT(CO137,1)&lt;&gt;"#"),IF(LEFT(CO137,1)="-",REPLACE(CO137,1,1,tech!$H$2),CO137),"")</f>
        <v/>
      </c>
      <c r="CT137" t="s">
        <v>495</v>
      </c>
    </row>
    <row r="138" spans="3:98" x14ac:dyDescent="0.25">
      <c r="C138" s="492"/>
      <c r="D138" t="str">
        <f t="shared" si="190"/>
        <v>Optimized</v>
      </c>
      <c r="E138" t="str">
        <f t="shared" si="191"/>
        <v>Associated risks</v>
      </c>
      <c r="F138" t="str">
        <f>_xlfn.CONCAT(VLOOKUP(D138,tech!$A$13:$B$17,2,0),LEFT(E138,1),IF(G138="","X","Y"))</f>
        <v>5AX</v>
      </c>
      <c r="G138" t="str">
        <f>IF(IF(LEFT(C138,1)="-",C138,"")="","",REPLACE(IF(LEFT(C138,1)="-",C138,""),1,1,tech!$H$2))</f>
        <v/>
      </c>
      <c r="H138" t="s">
        <v>495</v>
      </c>
      <c r="I138" s="492"/>
      <c r="J138" t="str">
        <f t="shared" si="175"/>
        <v>Architecture and design of the PKI</v>
      </c>
      <c r="K138" t="str">
        <f t="shared" si="192"/>
        <v>References</v>
      </c>
      <c r="L138" t="str">
        <f t="shared" si="129"/>
        <v>1.1.4.RX</v>
      </c>
      <c r="M138" t="str">
        <f>IF(AND(I138&lt;&gt;"",LEFT(I138,1)&lt;&gt;"#"),IF(LEFT(I138,1)="-",REPLACE(I138,1,1,tech!$H$2),I138),"")</f>
        <v/>
      </c>
      <c r="N138" t="s">
        <v>495</v>
      </c>
      <c r="O138" s="492" t="s">
        <v>501</v>
      </c>
      <c r="P138" t="str">
        <f t="shared" si="176"/>
        <v>Policies are periodically reviewed and updated</v>
      </c>
      <c r="Q138" t="str">
        <f t="shared" si="193"/>
        <v>Assessment</v>
      </c>
      <c r="R138" t="str">
        <f t="shared" si="131"/>
        <v>1.2.5.AX</v>
      </c>
      <c r="S138" t="str">
        <f>IF(AND(O138&lt;&gt;"",LEFT(O138,1)&lt;&gt;"#"),IF(LEFT(O138,1)="-",REPLACE(O138,1,1,tech!$H$2),O138),"")</f>
        <v/>
      </c>
      <c r="T138" t="s">
        <v>495</v>
      </c>
      <c r="U138" s="492"/>
      <c r="V138" t="str">
        <f t="shared" si="177"/>
        <v>List of relevant laws, regulations, and standards, exist and is maintained</v>
      </c>
      <c r="W138" t="str">
        <f t="shared" si="194"/>
        <v>References</v>
      </c>
      <c r="X138" t="str">
        <f t="shared" si="133"/>
        <v>1.3.4.RX</v>
      </c>
      <c r="Y138" t="str">
        <f>IF(AND(U138&lt;&gt;"",LEFT(U138,1)&lt;&gt;"#"),IF(LEFT(U138,1)="-",REPLACE(U138,1,1,tech!$H$2),U138),"")</f>
        <v/>
      </c>
      <c r="Z138" t="s">
        <v>495</v>
      </c>
      <c r="AA138" s="492"/>
      <c r="AB138" t="str">
        <f t="shared" si="178"/>
        <v>Processes and procedures are reviewed and updated</v>
      </c>
      <c r="AC138" t="str">
        <f t="shared" si="195"/>
        <v>References</v>
      </c>
      <c r="AD138" t="str">
        <f t="shared" si="135"/>
        <v>1.4.5.RX</v>
      </c>
      <c r="AE138" t="str">
        <f>IF(AND(AA138&lt;&gt;"",LEFT(AA138,1)&lt;&gt;"#"),IF(LEFT(AA138,1)="-",REPLACE(AA138,1,1,tech!$H$2),AA138),"")</f>
        <v/>
      </c>
      <c r="AF138" t="s">
        <v>495</v>
      </c>
      <c r="AG138" s="492" t="s">
        <v>503</v>
      </c>
      <c r="AH138" t="str">
        <f t="shared" si="179"/>
        <v>Cryptographic cipher suites and protocols are documented and maintained</v>
      </c>
      <c r="AI138" t="str">
        <f t="shared" si="196"/>
        <v>References</v>
      </c>
      <c r="AJ138" t="str">
        <f t="shared" si="137"/>
        <v>2.1.5.RX</v>
      </c>
      <c r="AK138" t="str">
        <f>IF(AND(AG138&lt;&gt;"",LEFT(AG138,1)&lt;&gt;"#"),IF(LEFT(AG138,1)="-",REPLACE(AG138,1,1,tech!$H$2),AG138),"")</f>
        <v/>
      </c>
      <c r="AL138" t="s">
        <v>495</v>
      </c>
      <c r="AM138" s="492" t="s">
        <v>851</v>
      </c>
      <c r="AN138" t="str">
        <f t="shared" si="180"/>
        <v>Inventory of issued certificates is documented</v>
      </c>
      <c r="AO138" t="str">
        <f t="shared" si="197"/>
        <v>Assessment</v>
      </c>
      <c r="AP138" t="str">
        <f t="shared" si="139"/>
        <v>2.2.4.AY</v>
      </c>
      <c r="AQ138" t="str">
        <f>IF(AND(AM138&lt;&gt;"",LEFT(AM138,1)&lt;&gt;"#"),IF(LEFT(AM138,1)="-",REPLACE(AM138,1,1,tech!$H$2),AM138),"")</f>
        <v xml:space="preserve">  * How inventory is maintained across the organization</v>
      </c>
      <c r="AR138" t="s">
        <v>495</v>
      </c>
      <c r="AS138" s="492" t="s">
        <v>948</v>
      </c>
      <c r="AT138" t="str">
        <f t="shared" si="181"/>
        <v>Infrastructure activities are periodically reviewed</v>
      </c>
      <c r="AU138" t="str">
        <f t="shared" si="198"/>
        <v>Guidance</v>
      </c>
      <c r="AV138" t="str">
        <f t="shared" si="141"/>
        <v>2.3.5.GY</v>
      </c>
      <c r="AW138" t="str">
        <f>IF(AND(AS138&lt;&gt;"",LEFT(AS138,1)&lt;&gt;"#"),IF(LEFT(AS138,1)="-",REPLACE(AS138,1,1,tech!$H$2),AS138),"")</f>
        <v>• Regular checks of access control lists</v>
      </c>
      <c r="AX138" t="s">
        <v>495</v>
      </c>
      <c r="AY138" s="492" t="s">
        <v>1010</v>
      </c>
      <c r="AZ138" t="str">
        <f t="shared" si="182"/>
        <v>Change management and agility is periodically reviewed</v>
      </c>
      <c r="BA138" t="str">
        <f t="shared" si="199"/>
        <v>Assessment</v>
      </c>
      <c r="BB138" t="str">
        <f t="shared" si="143"/>
        <v>2.4.5.AY</v>
      </c>
      <c r="BC138" t="str">
        <f>IF(AND(AY138&lt;&gt;"",LEFT(AY138,1)&lt;&gt;"#"),IF(LEFT(AY138,1)="-",REPLACE(AY138,1,1,tech!$H$2),AY138),"")</f>
        <v>• implementation of Review process and documentation</v>
      </c>
      <c r="BD138" t="s">
        <v>495</v>
      </c>
      <c r="BE138" s="492" t="s">
        <v>1045</v>
      </c>
      <c r="BF138" t="str">
        <f t="shared" si="183"/>
        <v>Competence and information sharing</v>
      </c>
      <c r="BG138" t="str">
        <f t="shared" si="200"/>
        <v>Guidance</v>
      </c>
      <c r="BH138" t="str">
        <f t="shared" si="145"/>
        <v>3.1.5.GY</v>
      </c>
      <c r="BI138" t="str">
        <f>IF(AND(BE138&lt;&gt;"",LEFT(BE138,1)&lt;&gt;"#"),IF(LEFT(BE138,1)="-",REPLACE(BE138,1,1,tech!$H$2),BE138),"")</f>
        <v>The organization needs to ensure that the competence of the personnel is maintained and the information is shared to not lose the knowledge introduced by changes within known and unknown variables. The organization should have a plan to ensure that the competence is maintained for the most critical parts of the PKI.</v>
      </c>
      <c r="BJ138" t="s">
        <v>495</v>
      </c>
      <c r="BK138" s="492"/>
      <c r="BL138" t="str">
        <f t="shared" si="184"/>
        <v>Adoption and application of open standards</v>
      </c>
      <c r="BM138" t="str">
        <f t="shared" si="201"/>
        <v>References</v>
      </c>
      <c r="BN138" t="str">
        <f t="shared" si="147"/>
        <v>3.2.3.RX</v>
      </c>
      <c r="BO138" t="str">
        <f>IF(AND(BK138&lt;&gt;"",LEFT(BK138,1)&lt;&gt;"#"),IF(LEFT(BK138,1)="-",REPLACE(BK138,1,1,tech!$H$2),BK138),"")</f>
        <v/>
      </c>
      <c r="BP138" t="s">
        <v>495</v>
      </c>
      <c r="BQ138" s="492"/>
      <c r="BR138" t="str">
        <f t="shared" si="185"/>
        <v>Critical events are immediately alerted and resolved according to incident response plans</v>
      </c>
      <c r="BS138" t="str">
        <f t="shared" si="202"/>
        <v>Assessment</v>
      </c>
      <c r="BT138" t="str">
        <f t="shared" si="149"/>
        <v>3.3.5.AX</v>
      </c>
      <c r="BU138" t="str">
        <f>IF(AND(BQ138&lt;&gt;"",LEFT(BQ138,1)&lt;&gt;"#"),IF(LEFT(BQ138,1)="-",REPLACE(BQ138,1,1,tech!$H$2),BQ138),"")</f>
        <v/>
      </c>
      <c r="BV138" t="s">
        <v>495</v>
      </c>
      <c r="BW138" s="492"/>
      <c r="BX138" t="str">
        <f t="shared" si="186"/>
        <v>Incidents and exceptions handling</v>
      </c>
      <c r="BY138" t="str">
        <f t="shared" si="203"/>
        <v>References</v>
      </c>
      <c r="BZ138" t="str">
        <f t="shared" si="151"/>
        <v>3.4.3.RX</v>
      </c>
      <c r="CA138" t="str">
        <f>IF(AND(BW138&lt;&gt;"",LEFT(BW138,1)&lt;&gt;"#"),IF(LEFT(BW138,1)="-",REPLACE(BW138,1,1,tech!$H$2),BW138),"")</f>
        <v/>
      </c>
      <c r="CB138" t="s">
        <v>495</v>
      </c>
      <c r="CC138" s="492"/>
      <c r="CD138" t="str">
        <f t="shared" si="187"/>
        <v>Resources are periodically reviewed</v>
      </c>
      <c r="CE138" t="str">
        <f t="shared" si="204"/>
        <v>References</v>
      </c>
      <c r="CF138" t="str">
        <f t="shared" si="153"/>
        <v>4.1.4.RX</v>
      </c>
      <c r="CG138" t="str">
        <f>IF(AND(CC138&lt;&gt;"",LEFT(CC138,1)&lt;&gt;"#"),IF(LEFT(CC138,1)="-",REPLACE(CC138,1,1,tech!$H$2),CC138),"")</f>
        <v/>
      </c>
      <c r="CH138" t="s">
        <v>495</v>
      </c>
      <c r="CI138" s="492" t="s">
        <v>1296</v>
      </c>
      <c r="CJ138" t="str">
        <f t="shared" si="188"/>
        <v>Establish education plan</v>
      </c>
      <c r="CK138" t="str">
        <f t="shared" si="205"/>
        <v>References</v>
      </c>
      <c r="CL138" t="str">
        <f t="shared" si="155"/>
        <v>4.2.4.RY</v>
      </c>
      <c r="CM138" t="str">
        <f>IF(AND(CI138&lt;&gt;"",LEFT(CI138,1)&lt;&gt;"#"),IF(LEFT(CI138,1)="-",REPLACE(CI138,1,1,tech!$H$2),CI138),"")</f>
        <v>• [European Cybersecurity Skills Framework (ECSF)](https://www.enisa.europa.eu/topics/education/european-cybersecurity-skills-framework)</v>
      </c>
      <c r="CN138" t="s">
        <v>495</v>
      </c>
      <c r="CO138" s="492"/>
      <c r="CP138" t="str">
        <f t="shared" si="189"/>
        <v>Timely communication of important information</v>
      </c>
      <c r="CQ138" t="str">
        <f t="shared" si="206"/>
        <v>References</v>
      </c>
      <c r="CR138" t="str">
        <f t="shared" si="157"/>
        <v>4.3.4.RX</v>
      </c>
      <c r="CS138" t="str">
        <f>IF(AND(CO138&lt;&gt;"",LEFT(CO138,1)&lt;&gt;"#"),IF(LEFT(CO138,1)="-",REPLACE(CO138,1,1,tech!$H$2),CO138),"")</f>
        <v/>
      </c>
      <c r="CT138" t="s">
        <v>495</v>
      </c>
    </row>
    <row r="139" spans="3:98" x14ac:dyDescent="0.25">
      <c r="C139" s="492"/>
      <c r="D139" t="str">
        <f t="shared" si="190"/>
        <v>Optimized</v>
      </c>
      <c r="E139" t="str">
        <f t="shared" si="191"/>
        <v>Associated risks</v>
      </c>
      <c r="F139" t="str">
        <f>_xlfn.CONCAT(VLOOKUP(D139,tech!$A$13:$B$17,2,0),LEFT(E139,1),IF(G139="","X","Y"))</f>
        <v>5AX</v>
      </c>
      <c r="G139" t="str">
        <f>IF(IF(LEFT(C139,1)="-",C139,"")="","",REPLACE(IF(LEFT(C139,1)="-",C139,""),1,1,tech!$H$2))</f>
        <v/>
      </c>
      <c r="H139" t="s">
        <v>495</v>
      </c>
      <c r="I139" s="492"/>
      <c r="J139" t="str">
        <f t="shared" si="175"/>
        <v>Architecture and design of the PKI</v>
      </c>
      <c r="K139" t="str">
        <f t="shared" si="192"/>
        <v>References</v>
      </c>
      <c r="L139" t="str">
        <f t="shared" si="129"/>
        <v>1.1.4.RX</v>
      </c>
      <c r="M139" t="str">
        <f>IF(AND(I139&lt;&gt;"",LEFT(I139,1)&lt;&gt;"#"),IF(LEFT(I139,1)="-",REPLACE(I139,1,1,tech!$H$2),I139),"")</f>
        <v/>
      </c>
      <c r="N139" t="s">
        <v>495</v>
      </c>
      <c r="O139" s="492"/>
      <c r="P139" t="str">
        <f t="shared" si="176"/>
        <v>Policies are periodically reviewed and updated</v>
      </c>
      <c r="Q139" t="str">
        <f t="shared" si="193"/>
        <v>Assessment</v>
      </c>
      <c r="R139" t="str">
        <f t="shared" si="131"/>
        <v>1.2.5.AX</v>
      </c>
      <c r="S139" t="str">
        <f>IF(AND(O139&lt;&gt;"",LEFT(O139,1)&lt;&gt;"#"),IF(LEFT(O139,1)="-",REPLACE(O139,1,1,tech!$H$2),O139),"")</f>
        <v/>
      </c>
      <c r="T139" t="s">
        <v>495</v>
      </c>
      <c r="U139" s="492"/>
      <c r="V139" t="str">
        <f t="shared" si="177"/>
        <v>List of relevant laws, regulations, and standards, exist and is maintained</v>
      </c>
      <c r="W139" t="str">
        <f t="shared" si="194"/>
        <v>References</v>
      </c>
      <c r="X139" t="str">
        <f t="shared" si="133"/>
        <v>1.3.4.RX</v>
      </c>
      <c r="Y139" t="str">
        <f>IF(AND(U139&lt;&gt;"",LEFT(U139,1)&lt;&gt;"#"),IF(LEFT(U139,1)="-",REPLACE(U139,1,1,tech!$H$2),U139),"")</f>
        <v/>
      </c>
      <c r="Z139" t="s">
        <v>495</v>
      </c>
      <c r="AA139" s="492"/>
      <c r="AB139" t="str">
        <f t="shared" si="178"/>
        <v>Processes and procedures are reviewed and updated</v>
      </c>
      <c r="AC139" t="str">
        <f t="shared" si="195"/>
        <v>References</v>
      </c>
      <c r="AD139" t="str">
        <f t="shared" si="135"/>
        <v>1.4.5.RX</v>
      </c>
      <c r="AE139" t="str">
        <f>IF(AND(AA139&lt;&gt;"",LEFT(AA139,1)&lt;&gt;"#"),IF(LEFT(AA139,1)="-",REPLACE(AA139,1,1,tech!$H$2),AA139),"")</f>
        <v/>
      </c>
      <c r="AF139" t="s">
        <v>495</v>
      </c>
      <c r="AG139" s="492"/>
      <c r="AH139" t="str">
        <f t="shared" si="179"/>
        <v>Cryptographic cipher suites and protocols are documented and maintained</v>
      </c>
      <c r="AI139" t="str">
        <f t="shared" si="196"/>
        <v>References</v>
      </c>
      <c r="AJ139" t="str">
        <f t="shared" si="137"/>
        <v>2.1.5.RX</v>
      </c>
      <c r="AK139" t="str">
        <f>IF(AND(AG139&lt;&gt;"",LEFT(AG139,1)&lt;&gt;"#"),IF(LEFT(AG139,1)="-",REPLACE(AG139,1,1,tech!$H$2),AG139),"")</f>
        <v/>
      </c>
      <c r="AL139" t="s">
        <v>495</v>
      </c>
      <c r="AM139" s="492" t="s">
        <v>852</v>
      </c>
      <c r="AN139" t="str">
        <f t="shared" si="180"/>
        <v>Inventory of issued certificates is documented</v>
      </c>
      <c r="AO139" t="str">
        <f t="shared" si="197"/>
        <v>Assessment</v>
      </c>
      <c r="AP139" t="str">
        <f t="shared" si="139"/>
        <v>2.2.4.AY</v>
      </c>
      <c r="AQ139" t="str">
        <f>IF(AND(AM139&lt;&gt;"",LEFT(AM139,1)&lt;&gt;"#"),IF(LEFT(AM139,1)="-",REPLACE(AM139,1,1,tech!$H$2),AM139),"")</f>
        <v>* Documented certificate inventory management</v>
      </c>
      <c r="AR139" t="s">
        <v>495</v>
      </c>
      <c r="AS139" s="492" t="s">
        <v>949</v>
      </c>
      <c r="AT139" t="str">
        <f t="shared" si="181"/>
        <v>Infrastructure activities are periodically reviewed</v>
      </c>
      <c r="AU139" t="str">
        <f t="shared" si="198"/>
        <v>Guidance</v>
      </c>
      <c r="AV139" t="str">
        <f t="shared" si="141"/>
        <v>2.3.5.GY</v>
      </c>
      <c r="AW139" t="str">
        <f>IF(AND(AS139&lt;&gt;"",LEFT(AS139,1)&lt;&gt;"#"),IF(LEFT(AS139,1)="-",REPLACE(AS139,1,1,tech!$H$2),AS139),"")</f>
        <v>• vulnerability reports and timely remediation</v>
      </c>
      <c r="AX139" t="s">
        <v>495</v>
      </c>
      <c r="AY139" s="492" t="s">
        <v>1004</v>
      </c>
      <c r="AZ139" t="str">
        <f t="shared" si="182"/>
        <v>Change management and agility is periodically reviewed</v>
      </c>
      <c r="BA139" t="str">
        <f t="shared" si="199"/>
        <v>Assessment</v>
      </c>
      <c r="BB139" t="str">
        <f t="shared" si="143"/>
        <v>2.4.5.AY</v>
      </c>
      <c r="BC139" t="str">
        <f>IF(AND(AY139&lt;&gt;"",LEFT(AY139,1)&lt;&gt;"#"),IF(LEFT(AY139,1)="-",REPLACE(AY139,1,1,tech!$H$2),AY139),"")</f>
        <v>• Interview with the responsible personnel</v>
      </c>
      <c r="BD139" t="s">
        <v>495</v>
      </c>
      <c r="BE139" s="492"/>
      <c r="BF139" t="str">
        <f t="shared" si="183"/>
        <v>Competence and information sharing</v>
      </c>
      <c r="BG139" t="str">
        <f t="shared" si="200"/>
        <v>Guidance</v>
      </c>
      <c r="BH139" t="str">
        <f t="shared" si="145"/>
        <v>3.1.5.GY</v>
      </c>
      <c r="BI139" t="str">
        <f>IF(AND(BE139&lt;&gt;"",LEFT(BE139,1)&lt;&gt;"#"),IF(LEFT(BE139,1)="-",REPLACE(BE139,1,1,tech!$H$2),BE139),"")</f>
        <v/>
      </c>
      <c r="BJ139" t="s">
        <v>495</v>
      </c>
      <c r="BK139" s="492"/>
      <c r="BL139" t="str">
        <f t="shared" si="184"/>
        <v>Adoption and application of open standards</v>
      </c>
      <c r="BM139" t="str">
        <f t="shared" si="201"/>
        <v>References</v>
      </c>
      <c r="BN139" t="str">
        <f t="shared" si="147"/>
        <v>3.2.3.RX</v>
      </c>
      <c r="BO139" t="str">
        <f>IF(AND(BK139&lt;&gt;"",LEFT(BK139,1)&lt;&gt;"#"),IF(LEFT(BK139,1)="-",REPLACE(BK139,1,1,tech!$H$2),BK139),"")</f>
        <v/>
      </c>
      <c r="BP139" t="s">
        <v>495</v>
      </c>
      <c r="BQ139" s="492" t="s">
        <v>1166</v>
      </c>
      <c r="BR139" t="str">
        <f t="shared" si="185"/>
        <v>Critical events are immediately alerted and resolved according to incident response plans</v>
      </c>
      <c r="BS139" t="str">
        <f t="shared" si="202"/>
        <v>Assessment</v>
      </c>
      <c r="BT139" t="str">
        <f t="shared" si="149"/>
        <v>3.3.5.AY</v>
      </c>
      <c r="BU139" t="str">
        <f>IF(AND(BQ139&lt;&gt;"",LEFT(BQ139,1)&lt;&gt;"#"),IF(LEFT(BQ139,1)="-",REPLACE(BQ139,1,1,tech!$H$2),BQ139),"")</f>
        <v>• Review of requirements for alerting on critical event, including security sensitive events</v>
      </c>
      <c r="BV139" t="s">
        <v>495</v>
      </c>
      <c r="BW139" s="492"/>
      <c r="BX139" t="str">
        <f t="shared" si="186"/>
        <v>Incidents and exceptions handling</v>
      </c>
      <c r="BY139" t="str">
        <f t="shared" si="203"/>
        <v>References</v>
      </c>
      <c r="BZ139" t="str">
        <f t="shared" si="151"/>
        <v>3.4.3.RX</v>
      </c>
      <c r="CA139" t="str">
        <f>IF(AND(BW139&lt;&gt;"",LEFT(BW139,1)&lt;&gt;"#"),IF(LEFT(BW139,1)="-",REPLACE(BW139,1,1,tech!$H$2),BW139),"")</f>
        <v/>
      </c>
      <c r="CB139" t="s">
        <v>495</v>
      </c>
      <c r="CC139" s="492"/>
      <c r="CD139" t="str">
        <f t="shared" si="187"/>
        <v>Resources are periodically reviewed</v>
      </c>
      <c r="CE139" t="str">
        <f t="shared" si="204"/>
        <v>References</v>
      </c>
      <c r="CF139" t="str">
        <f t="shared" si="153"/>
        <v>4.1.4.RX</v>
      </c>
      <c r="CG139" t="str">
        <f>IF(AND(CC139&lt;&gt;"",LEFT(CC139,1)&lt;&gt;"#"),IF(LEFT(CC139,1)="-",REPLACE(CC139,1,1,tech!$H$2),CC139),"")</f>
        <v/>
      </c>
      <c r="CH139" t="s">
        <v>495</v>
      </c>
      <c r="CI139" s="492"/>
      <c r="CJ139" t="str">
        <f t="shared" si="188"/>
        <v>Establish education plan</v>
      </c>
      <c r="CK139" t="str">
        <f t="shared" si="205"/>
        <v>References</v>
      </c>
      <c r="CL139" t="str">
        <f t="shared" si="155"/>
        <v>4.2.4.RX</v>
      </c>
      <c r="CM139" t="str">
        <f>IF(AND(CI139&lt;&gt;"",LEFT(CI139,1)&lt;&gt;"#"),IF(LEFT(CI139,1)="-",REPLACE(CI139,1,1,tech!$H$2),CI139),"")</f>
        <v/>
      </c>
      <c r="CN139" t="s">
        <v>495</v>
      </c>
      <c r="CO139" s="492"/>
      <c r="CP139" t="str">
        <f t="shared" si="189"/>
        <v>Timely communication of important information</v>
      </c>
      <c r="CQ139" t="str">
        <f t="shared" si="206"/>
        <v>References</v>
      </c>
      <c r="CR139" t="str">
        <f t="shared" si="157"/>
        <v>4.3.4.RX</v>
      </c>
      <c r="CS139" t="str">
        <f>IF(AND(CO139&lt;&gt;"",LEFT(CO139,1)&lt;&gt;"#"),IF(LEFT(CO139,1)="-",REPLACE(CO139,1,1,tech!$H$2),CO139),"")</f>
        <v/>
      </c>
      <c r="CT139" t="s">
        <v>495</v>
      </c>
    </row>
    <row r="140" spans="3:98" x14ac:dyDescent="0.25">
      <c r="C140" s="492"/>
      <c r="D140" t="str">
        <f t="shared" si="190"/>
        <v>Optimized</v>
      </c>
      <c r="E140" t="str">
        <f t="shared" si="191"/>
        <v>Associated risks</v>
      </c>
      <c r="F140" t="str">
        <f>_xlfn.CONCAT(VLOOKUP(D140,tech!$A$13:$B$17,2,0),LEFT(E140,1),IF(G140="","X","Y"))</f>
        <v>5AX</v>
      </c>
      <c r="G140" t="str">
        <f>IF(IF(LEFT(C140,1)="-",C140,"")="","",REPLACE(IF(LEFT(C140,1)="-",C140,""),1,1,tech!$H$2))</f>
        <v/>
      </c>
      <c r="H140" t="s">
        <v>495</v>
      </c>
      <c r="I140" s="492"/>
      <c r="J140" t="str">
        <f t="shared" si="175"/>
        <v>Architecture and design of the PKI</v>
      </c>
      <c r="K140" t="str">
        <f t="shared" si="192"/>
        <v>References</v>
      </c>
      <c r="L140" t="str">
        <f t="shared" si="129"/>
        <v>1.1.4.RX</v>
      </c>
      <c r="M140" t="str">
        <f>IF(AND(I140&lt;&gt;"",LEFT(I140,1)&lt;&gt;"#"),IF(LEFT(I140,1)="-",REPLACE(I140,1,1,tech!$H$2),I140),"")</f>
        <v/>
      </c>
      <c r="N140" t="s">
        <v>495</v>
      </c>
      <c r="O140" s="492" t="s">
        <v>595</v>
      </c>
      <c r="P140" t="str">
        <f t="shared" si="176"/>
        <v>Policies are periodically reviewed and updated</v>
      </c>
      <c r="Q140" t="str">
        <f t="shared" si="193"/>
        <v>Assessment</v>
      </c>
      <c r="R140" t="str">
        <f t="shared" si="131"/>
        <v>1.2.5.AY</v>
      </c>
      <c r="S140" t="str">
        <f>IF(AND(O140&lt;&gt;"",LEFT(O140,1)&lt;&gt;"#"),IF(LEFT(O140,1)="-",REPLACE(O140,1,1,tech!$H$2),O140),"")</f>
        <v>• the policies are reviewed and updated periodically</v>
      </c>
      <c r="T140" t="s">
        <v>495</v>
      </c>
      <c r="U140" s="492"/>
      <c r="V140" t="str">
        <f t="shared" si="177"/>
        <v>List of relevant laws, regulations, and standards, exist and is maintained</v>
      </c>
      <c r="W140" t="str">
        <f t="shared" si="194"/>
        <v>References</v>
      </c>
      <c r="X140" t="str">
        <f t="shared" si="133"/>
        <v>1.3.4.RX</v>
      </c>
      <c r="Y140" t="str">
        <f>IF(AND(U140&lt;&gt;"",LEFT(U140,1)&lt;&gt;"#"),IF(LEFT(U140,1)="-",REPLACE(U140,1,1,tech!$H$2),U140),"")</f>
        <v/>
      </c>
      <c r="Z140" t="s">
        <v>495</v>
      </c>
      <c r="AA140" s="492"/>
      <c r="AB140" t="str">
        <f t="shared" si="178"/>
        <v>Processes and procedures are reviewed and updated</v>
      </c>
      <c r="AC140" t="str">
        <f t="shared" si="195"/>
        <v>References</v>
      </c>
      <c r="AD140" t="str">
        <f t="shared" si="135"/>
        <v>1.4.5.RX</v>
      </c>
      <c r="AE140" t="str">
        <f>IF(AND(AA140&lt;&gt;"",LEFT(AA140,1)&lt;&gt;"#"),IF(LEFT(AA140,1)="-",REPLACE(AA140,1,1,tech!$H$2),AA140),"")</f>
        <v/>
      </c>
      <c r="AF140" t="s">
        <v>495</v>
      </c>
      <c r="AG140" s="492" t="s">
        <v>714</v>
      </c>
      <c r="AH140" t="str">
        <f t="shared" si="179"/>
        <v>Cryptographic cipher suites and protocols are documented and maintained</v>
      </c>
      <c r="AI140" t="str">
        <f t="shared" si="196"/>
        <v>References</v>
      </c>
      <c r="AJ140" t="str">
        <f t="shared" si="137"/>
        <v>2.1.5.RY</v>
      </c>
      <c r="AK140" t="str">
        <f>IF(AND(AG140&lt;&gt;"",LEFT(AG140,1)&lt;&gt;"#"),IF(LEFT(AG140,1)="-",REPLACE(AG140,1,1,tech!$H$2),AG140),"")</f>
        <v>• [NIST SP 800-57 Recommendation for Key Management](https://csrc.nist.gov/projects/key-management/key-management-guidelines)</v>
      </c>
      <c r="AL140" t="s">
        <v>495</v>
      </c>
      <c r="AM140" s="492" t="s">
        <v>853</v>
      </c>
      <c r="AN140" t="str">
        <f t="shared" si="180"/>
        <v>Inventory of issued certificates is documented</v>
      </c>
      <c r="AO140" t="str">
        <f t="shared" si="197"/>
        <v>Assessment</v>
      </c>
      <c r="AP140" t="str">
        <f t="shared" si="139"/>
        <v>2.2.4.AY</v>
      </c>
      <c r="AQ140" t="str">
        <f>IF(AND(AM140&lt;&gt;"",LEFT(AM140,1)&lt;&gt;"#"),IF(LEFT(AM140,1)="-",REPLACE(AM140,1,1,tech!$H$2),AM140),"")</f>
        <v>* Validation of certificate inventory records</v>
      </c>
      <c r="AR140" t="s">
        <v>495</v>
      </c>
      <c r="AS140" s="492" t="s">
        <v>950</v>
      </c>
      <c r="AT140" t="str">
        <f t="shared" si="181"/>
        <v>Infrastructure activities are periodically reviewed</v>
      </c>
      <c r="AU140" t="str">
        <f t="shared" si="198"/>
        <v>Guidance</v>
      </c>
      <c r="AV140" t="str">
        <f t="shared" si="141"/>
        <v>2.3.5.GY</v>
      </c>
      <c r="AW140" t="str">
        <f>IF(AND(AS140&lt;&gt;"",LEFT(AS140,1)&lt;&gt;"#"),IF(LEFT(AS140,1)="-",REPLACE(AS140,1,1,tech!$H$2),AS140),"")</f>
        <v>• Review and correlation of logs</v>
      </c>
      <c r="AX140" t="s">
        <v>495</v>
      </c>
      <c r="AY140" s="492"/>
      <c r="AZ140" t="str">
        <f t="shared" si="182"/>
        <v>Change management and agility is periodically reviewed</v>
      </c>
      <c r="BA140" t="str">
        <f t="shared" si="199"/>
        <v>Assessment</v>
      </c>
      <c r="BB140" t="str">
        <f t="shared" si="143"/>
        <v>2.4.5.AX</v>
      </c>
      <c r="BC140" t="str">
        <f>IF(AND(AY140&lt;&gt;"",LEFT(AY140,1)&lt;&gt;"#"),IF(LEFT(AY140,1)="-",REPLACE(AY140,1,1,tech!$H$2),AY140),"")</f>
        <v/>
      </c>
      <c r="BD140" t="s">
        <v>495</v>
      </c>
      <c r="BE140" s="492" t="s">
        <v>1046</v>
      </c>
      <c r="BF140" t="str">
        <f t="shared" si="183"/>
        <v>Competence and information sharing</v>
      </c>
      <c r="BG140" t="str">
        <f t="shared" si="200"/>
        <v>Guidance</v>
      </c>
      <c r="BH140" t="str">
        <f t="shared" si="145"/>
        <v>3.1.5.GY</v>
      </c>
      <c r="BI140" t="str">
        <f>IF(AND(BE140&lt;&gt;"",LEFT(BE140,1)&lt;&gt;"#"),IF(LEFT(BE140,1)="-",REPLACE(BE140,1,1,tech!$H$2),BE140),"")</f>
        <v>The competence and information sharing is an important part to achieve the resilience of the PKI implementation by having relevant information and competencies ready when needed.</v>
      </c>
      <c r="BJ140" t="s">
        <v>495</v>
      </c>
      <c r="BK140" s="492"/>
      <c r="BL140" t="str">
        <f t="shared" si="184"/>
        <v>Adoption and application of open standards</v>
      </c>
      <c r="BM140" t="str">
        <f t="shared" si="201"/>
        <v>References</v>
      </c>
      <c r="BN140" t="str">
        <f t="shared" si="147"/>
        <v>3.2.3.RX</v>
      </c>
      <c r="BO140" t="str">
        <f>IF(AND(BK140&lt;&gt;"",LEFT(BK140,1)&lt;&gt;"#"),IF(LEFT(BK140,1)="-",REPLACE(BK140,1,1,tech!$H$2),BK140),"")</f>
        <v/>
      </c>
      <c r="BP140" t="s">
        <v>495</v>
      </c>
      <c r="BQ140" s="492" t="s">
        <v>1203</v>
      </c>
      <c r="BR140" t="str">
        <f t="shared" si="185"/>
        <v>Critical events are immediately alerted and resolved according to incident response plans</v>
      </c>
      <c r="BS140" t="str">
        <f t="shared" si="202"/>
        <v>Assessment</v>
      </c>
      <c r="BT140" t="str">
        <f t="shared" si="149"/>
        <v>3.3.5.AY</v>
      </c>
      <c r="BU140" t="str">
        <f>IF(AND(BQ140&lt;&gt;"",LEFT(BQ140,1)&lt;&gt;"#"),IF(LEFT(BQ140,1)="-",REPLACE(BQ140,1,1,tech!$H$2),BQ140),"")</f>
        <v>• Review of Monitoring implementation</v>
      </c>
      <c r="BV140" t="s">
        <v>495</v>
      </c>
      <c r="BW140" s="492"/>
      <c r="BX140" t="str">
        <f t="shared" si="186"/>
        <v>Incidents and exceptions handling</v>
      </c>
      <c r="BY140" t="str">
        <f t="shared" si="203"/>
        <v>References</v>
      </c>
      <c r="BZ140" t="str">
        <f t="shared" si="151"/>
        <v>3.4.3.RX</v>
      </c>
      <c r="CA140" t="str">
        <f>IF(AND(BW140&lt;&gt;"",LEFT(BW140,1)&lt;&gt;"#"),IF(LEFT(BW140,1)="-",REPLACE(BW140,1,1,tech!$H$2),BW140),"")</f>
        <v/>
      </c>
      <c r="CB140" t="s">
        <v>495</v>
      </c>
      <c r="CC140" s="492"/>
      <c r="CD140" t="str">
        <f t="shared" si="187"/>
        <v>Resources are periodically reviewed</v>
      </c>
      <c r="CE140" t="str">
        <f t="shared" si="204"/>
        <v>References</v>
      </c>
      <c r="CF140" t="str">
        <f t="shared" si="153"/>
        <v>4.1.4.RX</v>
      </c>
      <c r="CG140" t="str">
        <f>IF(AND(CC140&lt;&gt;"",LEFT(CC140,1)&lt;&gt;"#"),IF(LEFT(CC140,1)="-",REPLACE(CC140,1,1,tech!$H$2),CC140),"")</f>
        <v/>
      </c>
      <c r="CH140" t="s">
        <v>495</v>
      </c>
      <c r="CI140" s="492" t="s">
        <v>1315</v>
      </c>
      <c r="CJ140" t="str">
        <f t="shared" si="188"/>
        <v>Periodically review knowledge</v>
      </c>
      <c r="CK140" t="str">
        <f t="shared" si="205"/>
        <v>References</v>
      </c>
      <c r="CL140" t="str">
        <f t="shared" si="155"/>
        <v>4.2.5.RX</v>
      </c>
      <c r="CM140" t="str">
        <f>IF(AND(CI140&lt;&gt;"",LEFT(CI140,1)&lt;&gt;"#"),IF(LEFT(CI140,1)="-",REPLACE(CI140,1,1,tech!$H$2),CI140),"")</f>
        <v/>
      </c>
      <c r="CN140" t="s">
        <v>495</v>
      </c>
      <c r="CO140" s="492"/>
      <c r="CP140" t="str">
        <f t="shared" si="189"/>
        <v>Timely communication of important information</v>
      </c>
      <c r="CQ140" t="str">
        <f t="shared" si="206"/>
        <v>References</v>
      </c>
      <c r="CR140" t="str">
        <f t="shared" si="157"/>
        <v>4.3.4.RX</v>
      </c>
      <c r="CS140" t="str">
        <f>IF(AND(CO140&lt;&gt;"",LEFT(CO140,1)&lt;&gt;"#"),IF(LEFT(CO140,1)="-",REPLACE(CO140,1,1,tech!$H$2),CO140),"")</f>
        <v/>
      </c>
      <c r="CT140" t="s">
        <v>495</v>
      </c>
    </row>
    <row r="141" spans="3:98" x14ac:dyDescent="0.25">
      <c r="C141" s="492"/>
      <c r="D141" t="str">
        <f t="shared" si="190"/>
        <v>Optimized</v>
      </c>
      <c r="E141" t="str">
        <f t="shared" si="191"/>
        <v>Associated risks</v>
      </c>
      <c r="F141" t="str">
        <f>_xlfn.CONCAT(VLOOKUP(D141,tech!$A$13:$B$17,2,0),LEFT(E141,1),IF(G141="","X","Y"))</f>
        <v>5AX</v>
      </c>
      <c r="G141" t="str">
        <f>IF(IF(LEFT(C141,1)="-",C141,"")="","",REPLACE(IF(LEFT(C141,1)="-",C141,""),1,1,tech!$H$2))</f>
        <v/>
      </c>
      <c r="H141" t="s">
        <v>495</v>
      </c>
      <c r="I141" s="492"/>
      <c r="J141" t="str">
        <f t="shared" si="175"/>
        <v>Architecture and design of the PKI</v>
      </c>
      <c r="K141" t="str">
        <f t="shared" si="192"/>
        <v>References</v>
      </c>
      <c r="L141" t="str">
        <f t="shared" si="129"/>
        <v>1.1.4.RX</v>
      </c>
      <c r="M141" t="str">
        <f>IF(AND(I141&lt;&gt;"",LEFT(I141,1)&lt;&gt;"#"),IF(LEFT(I141,1)="-",REPLACE(I141,1,1,tech!$H$2),I141),"")</f>
        <v/>
      </c>
      <c r="N141" t="s">
        <v>495</v>
      </c>
      <c r="O141" s="492" t="s">
        <v>596</v>
      </c>
      <c r="P141" t="str">
        <f t="shared" si="176"/>
        <v>Policies are periodically reviewed and updated</v>
      </c>
      <c r="Q141" t="str">
        <f t="shared" si="193"/>
        <v>Assessment</v>
      </c>
      <c r="R141" t="str">
        <f t="shared" si="131"/>
        <v>1.2.5.AY</v>
      </c>
      <c r="S141" t="str">
        <f>IF(AND(O141&lt;&gt;"",LEFT(O141,1)&lt;&gt;"#"),IF(LEFT(O141,1)="-",REPLACE(O141,1,1,tech!$H$2),O141),"")</f>
        <v>• Check the last review date of the policies</v>
      </c>
      <c r="T141" t="s">
        <v>495</v>
      </c>
      <c r="U141" s="492"/>
      <c r="V141" t="str">
        <f t="shared" si="177"/>
        <v>List of relevant laws, regulations, and standards, exist and is maintained</v>
      </c>
      <c r="W141" t="str">
        <f t="shared" si="194"/>
        <v>References</v>
      </c>
      <c r="X141" t="str">
        <f t="shared" si="133"/>
        <v>1.3.4.RX</v>
      </c>
      <c r="Y141" t="str">
        <f>IF(AND(U141&lt;&gt;"",LEFT(U141,1)&lt;&gt;"#"),IF(LEFT(U141,1)="-",REPLACE(U141,1,1,tech!$H$2),U141),"")</f>
        <v/>
      </c>
      <c r="Z141" t="s">
        <v>495</v>
      </c>
      <c r="AA141" s="492"/>
      <c r="AB141" t="str">
        <f t="shared" si="178"/>
        <v>Processes and procedures are reviewed and updated</v>
      </c>
      <c r="AC141" t="str">
        <f t="shared" si="195"/>
        <v>References</v>
      </c>
      <c r="AD141" t="str">
        <f t="shared" si="135"/>
        <v>1.4.5.RX</v>
      </c>
      <c r="AE141" t="str">
        <f>IF(AND(AA141&lt;&gt;"",LEFT(AA141,1)&lt;&gt;"#"),IF(LEFT(AA141,1)="-",REPLACE(AA141,1,1,tech!$H$2),AA141),"")</f>
        <v/>
      </c>
      <c r="AF141" t="s">
        <v>495</v>
      </c>
      <c r="AG141" s="492" t="s">
        <v>715</v>
      </c>
      <c r="AH141" t="str">
        <f t="shared" si="179"/>
        <v>Cryptographic cipher suites and protocols are documented and maintained</v>
      </c>
      <c r="AI141" t="str">
        <f t="shared" si="196"/>
        <v>References</v>
      </c>
      <c r="AJ141" t="str">
        <f t="shared" si="137"/>
        <v>2.1.5.RY</v>
      </c>
      <c r="AK141" t="str">
        <f>IF(AND(AG141&lt;&gt;"",LEFT(AG141,1)&lt;&gt;"#"),IF(LEFT(AG141,1)="-",REPLACE(AG141,1,1,tech!$H$2),AG141),"")</f>
        <v>• [ISO/IEC 11770 Key Management](https://www.iso.org/standard/53456.html)</v>
      </c>
      <c r="AL141" t="s">
        <v>495</v>
      </c>
      <c r="AM141" s="492" t="s">
        <v>854</v>
      </c>
      <c r="AN141" t="str">
        <f t="shared" si="180"/>
        <v>Inventory of issued certificates is documented</v>
      </c>
      <c r="AO141" t="str">
        <f t="shared" si="197"/>
        <v>Assessment</v>
      </c>
      <c r="AP141" t="str">
        <f t="shared" si="139"/>
        <v>2.2.4.AY</v>
      </c>
      <c r="AQ141" t="str">
        <f>IF(AND(AM141&lt;&gt;"",LEFT(AM141,1)&lt;&gt;"#"),IF(LEFT(AM141,1)="-",REPLACE(AM141,1,1,tech!$H$2),AM141),"")</f>
        <v>* Effectiveness of the certificate inventory implementation</v>
      </c>
      <c r="AR141" t="s">
        <v>495</v>
      </c>
      <c r="AS141" s="492" t="s">
        <v>951</v>
      </c>
      <c r="AT141" t="str">
        <f t="shared" si="181"/>
        <v>Infrastructure activities are periodically reviewed</v>
      </c>
      <c r="AU141" t="str">
        <f t="shared" si="198"/>
        <v>Guidance</v>
      </c>
      <c r="AV141" t="str">
        <f t="shared" si="141"/>
        <v>2.3.5.GY</v>
      </c>
      <c r="AW141" t="str">
        <f>IF(AND(AS141&lt;&gt;"",LEFT(AS141,1)&lt;&gt;"#"),IF(LEFT(AS141,1)="-",REPLACE(AS141,1,1,tech!$H$2),AS141),"")</f>
        <v>• and other activities related to the infrastructure management</v>
      </c>
      <c r="AX141" t="s">
        <v>495</v>
      </c>
      <c r="AY141" s="492" t="s">
        <v>503</v>
      </c>
      <c r="AZ141" t="str">
        <f t="shared" si="182"/>
        <v>Change management and agility is periodically reviewed</v>
      </c>
      <c r="BA141" t="str">
        <f t="shared" si="199"/>
        <v>References</v>
      </c>
      <c r="BB141" t="str">
        <f t="shared" si="143"/>
        <v>2.4.5.RX</v>
      </c>
      <c r="BC141" t="str">
        <f>IF(AND(AY141&lt;&gt;"",LEFT(AY141,1)&lt;&gt;"#"),IF(LEFT(AY141,1)="-",REPLACE(AY141,1,1,tech!$H$2),AY141),"")</f>
        <v/>
      </c>
      <c r="BD141" t="s">
        <v>495</v>
      </c>
      <c r="BE141" s="492"/>
      <c r="BF141" t="str">
        <f t="shared" si="183"/>
        <v>Competence and information sharing</v>
      </c>
      <c r="BG141" t="str">
        <f t="shared" si="200"/>
        <v>Guidance</v>
      </c>
      <c r="BH141" t="str">
        <f t="shared" si="145"/>
        <v>3.1.5.GX</v>
      </c>
      <c r="BI141" t="str">
        <f>IF(AND(BE141&lt;&gt;"",LEFT(BE141,1)&lt;&gt;"#"),IF(LEFT(BE141,1)="-",REPLACE(BE141,1,1,tech!$H$2),BE141),"")</f>
        <v/>
      </c>
      <c r="BJ141" t="s">
        <v>495</v>
      </c>
      <c r="BK141" s="492"/>
      <c r="BL141" t="str">
        <f t="shared" si="184"/>
        <v>Adoption and application of open standards</v>
      </c>
      <c r="BM141" t="str">
        <f t="shared" si="201"/>
        <v>References</v>
      </c>
      <c r="BN141" t="str">
        <f t="shared" si="147"/>
        <v>3.2.3.RX</v>
      </c>
      <c r="BO141" t="str">
        <f>IF(AND(BK141&lt;&gt;"",LEFT(BK141,1)&lt;&gt;"#"),IF(LEFT(BK141,1)="-",REPLACE(BK141,1,1,tech!$H$2),BK141),"")</f>
        <v/>
      </c>
      <c r="BP141" t="s">
        <v>495</v>
      </c>
      <c r="BQ141" s="492" t="s">
        <v>1204</v>
      </c>
      <c r="BR141" t="str">
        <f t="shared" si="185"/>
        <v>Critical events are immediately alerted and resolved according to incident response plans</v>
      </c>
      <c r="BS141" t="str">
        <f t="shared" si="202"/>
        <v>Assessment</v>
      </c>
      <c r="BT141" t="str">
        <f t="shared" si="149"/>
        <v>3.3.5.AY</v>
      </c>
      <c r="BU141" t="str">
        <f>IF(AND(BQ141&lt;&gt;"",LEFT(BQ141,1)&lt;&gt;"#"),IF(LEFT(BQ141,1)="-",REPLACE(BQ141,1,1,tech!$H$2),BQ141),"")</f>
        <v>• Review of documentation of critical events</v>
      </c>
      <c r="BV141" t="s">
        <v>495</v>
      </c>
      <c r="BW141" s="492"/>
      <c r="BX141" t="str">
        <f t="shared" si="186"/>
        <v>Incidents and exceptions handling</v>
      </c>
      <c r="BY141" t="str">
        <f t="shared" si="203"/>
        <v>References</v>
      </c>
      <c r="BZ141" t="str">
        <f t="shared" si="151"/>
        <v>3.4.3.RX</v>
      </c>
      <c r="CA141" t="str">
        <f>IF(AND(BW141&lt;&gt;"",LEFT(BW141,1)&lt;&gt;"#"),IF(LEFT(BW141,1)="-",REPLACE(BW141,1,1,tech!$H$2),BW141),"")</f>
        <v/>
      </c>
      <c r="CB141" t="s">
        <v>495</v>
      </c>
      <c r="CC141" s="492"/>
      <c r="CD141" t="str">
        <f t="shared" si="187"/>
        <v>Resources are periodically reviewed</v>
      </c>
      <c r="CE141" t="str">
        <f t="shared" si="204"/>
        <v>References</v>
      </c>
      <c r="CF141" t="str">
        <f t="shared" si="153"/>
        <v>4.1.4.RX</v>
      </c>
      <c r="CG141" t="str">
        <f>IF(AND(CC141&lt;&gt;"",LEFT(CC141,1)&lt;&gt;"#"),IF(LEFT(CC141,1)="-",REPLACE(CC141,1,1,tech!$H$2),CC141),"")</f>
        <v/>
      </c>
      <c r="CH141" t="s">
        <v>495</v>
      </c>
      <c r="CI141" s="492"/>
      <c r="CJ141" t="str">
        <f t="shared" si="188"/>
        <v>Periodically review knowledge</v>
      </c>
      <c r="CK141" t="str">
        <f t="shared" si="205"/>
        <v>References</v>
      </c>
      <c r="CL141" t="str">
        <f t="shared" si="155"/>
        <v>4.2.5.RX</v>
      </c>
      <c r="CM141" t="str">
        <f>IF(AND(CI141&lt;&gt;"",LEFT(CI141,1)&lt;&gt;"#"),IF(LEFT(CI141,1)="-",REPLACE(CI141,1,1,tech!$H$2),CI141),"")</f>
        <v/>
      </c>
      <c r="CN141" t="s">
        <v>495</v>
      </c>
      <c r="CO141" s="492"/>
      <c r="CP141" t="str">
        <f t="shared" si="189"/>
        <v>Timely communication of important information</v>
      </c>
      <c r="CQ141" t="str">
        <f t="shared" si="206"/>
        <v>References</v>
      </c>
      <c r="CR141" t="str">
        <f t="shared" si="157"/>
        <v>4.3.4.RX</v>
      </c>
      <c r="CS141" t="str">
        <f>IF(AND(CO141&lt;&gt;"",LEFT(CO141,1)&lt;&gt;"#"),IF(LEFT(CO141,1)="-",REPLACE(CO141,1,1,tech!$H$2),CO141),"")</f>
        <v/>
      </c>
      <c r="CT141" t="s">
        <v>495</v>
      </c>
    </row>
    <row r="142" spans="3:98" x14ac:dyDescent="0.25">
      <c r="C142" s="492"/>
      <c r="D142" t="str">
        <f t="shared" si="190"/>
        <v>Optimized</v>
      </c>
      <c r="E142" t="str">
        <f t="shared" si="191"/>
        <v>Associated risks</v>
      </c>
      <c r="F142" t="str">
        <f>_xlfn.CONCAT(VLOOKUP(D142,tech!$A$13:$B$17,2,0),LEFT(E142,1),IF(G142="","X","Y"))</f>
        <v>5AX</v>
      </c>
      <c r="G142" t="str">
        <f>IF(IF(LEFT(C142,1)="-",C142,"")="","",REPLACE(IF(LEFT(C142,1)="-",C142,""),1,1,tech!$H$2))</f>
        <v/>
      </c>
      <c r="H142" t="s">
        <v>495</v>
      </c>
      <c r="I142" s="492"/>
      <c r="J142" t="str">
        <f t="shared" si="175"/>
        <v>Architecture and design of the PKI</v>
      </c>
      <c r="K142" t="str">
        <f t="shared" si="192"/>
        <v>References</v>
      </c>
      <c r="L142" t="str">
        <f t="shared" si="129"/>
        <v>1.1.4.RX</v>
      </c>
      <c r="M142" t="str">
        <f>IF(AND(I142&lt;&gt;"",LEFT(I142,1)&lt;&gt;"#"),IF(LEFT(I142,1)="-",REPLACE(I142,1,1,tech!$H$2),I142),"")</f>
        <v/>
      </c>
      <c r="N142" t="s">
        <v>495</v>
      </c>
      <c r="O142" s="492" t="s">
        <v>597</v>
      </c>
      <c r="P142" t="str">
        <f t="shared" si="176"/>
        <v>Policies are periodically reviewed and updated</v>
      </c>
      <c r="Q142" t="str">
        <f t="shared" si="193"/>
        <v>Assessment</v>
      </c>
      <c r="R142" t="str">
        <f t="shared" si="131"/>
        <v>1.2.5.AY</v>
      </c>
      <c r="S142" t="str">
        <f>IF(AND(O142&lt;&gt;"",LEFT(O142,1)&lt;&gt;"#"),IF(LEFT(O142,1)="-",REPLACE(O142,1,1,tech!$H$2),O142),"")</f>
        <v>• implementation of review process</v>
      </c>
      <c r="T142" t="s">
        <v>495</v>
      </c>
      <c r="U142" s="492"/>
      <c r="V142" t="str">
        <f t="shared" si="177"/>
        <v>List of relevant laws, regulations, and standards, exist and is maintained</v>
      </c>
      <c r="W142" t="str">
        <f t="shared" si="194"/>
        <v>References</v>
      </c>
      <c r="X142" t="str">
        <f t="shared" si="133"/>
        <v>1.3.4.RX</v>
      </c>
      <c r="Y142" t="str">
        <f>IF(AND(U142&lt;&gt;"",LEFT(U142,1)&lt;&gt;"#"),IF(LEFT(U142,1)="-",REPLACE(U142,1,1,tech!$H$2),U142),"")</f>
        <v/>
      </c>
      <c r="Z142" t="s">
        <v>495</v>
      </c>
      <c r="AA142" s="492"/>
      <c r="AB142" t="str">
        <f t="shared" si="178"/>
        <v>Processes and procedures are reviewed and updated</v>
      </c>
      <c r="AC142" t="str">
        <f t="shared" si="195"/>
        <v>References</v>
      </c>
      <c r="AD142" t="str">
        <f t="shared" si="135"/>
        <v>1.4.5.RX</v>
      </c>
      <c r="AE142" t="str">
        <f>IF(AND(AA142&lt;&gt;"",LEFT(AA142,1)&lt;&gt;"#"),IF(LEFT(AA142,1)="-",REPLACE(AA142,1,1,tech!$H$2),AA142),"")</f>
        <v/>
      </c>
      <c r="AF142" t="s">
        <v>495</v>
      </c>
      <c r="AG142" s="492" t="s">
        <v>729</v>
      </c>
      <c r="AH142" t="str">
        <f t="shared" si="179"/>
        <v>Cryptographic cipher suites and protocols are documented and maintained</v>
      </c>
      <c r="AI142" t="str">
        <f t="shared" si="196"/>
        <v>References</v>
      </c>
      <c r="AJ142" t="str">
        <f t="shared" si="137"/>
        <v>2.1.5.RY</v>
      </c>
      <c r="AK142" t="str">
        <f>IF(AND(AG142&lt;&gt;"",LEFT(AG142,1)&lt;&gt;"#"),IF(LEFT(AG142,1)="-",REPLACE(AG142,1,1,tech!$H$2),AG142),"")</f>
        <v>• [NIST SP 800-131A Transitioning the Use of Cryptographic Algorithms and Key Lengths](https://csrc.nist.gov/publications/detail/sp/800-131a/rev-2/final)</v>
      </c>
      <c r="AL142" t="s">
        <v>495</v>
      </c>
      <c r="AM142" s="492"/>
      <c r="AN142" t="str">
        <f t="shared" si="180"/>
        <v>Inventory of issued certificates is documented</v>
      </c>
      <c r="AO142" t="str">
        <f t="shared" si="197"/>
        <v>Assessment</v>
      </c>
      <c r="AP142" t="str">
        <f t="shared" si="139"/>
        <v>2.2.4.AX</v>
      </c>
      <c r="AQ142" t="str">
        <f>IF(AND(AM142&lt;&gt;"",LEFT(AM142,1)&lt;&gt;"#"),IF(LEFT(AM142,1)="-",REPLACE(AM142,1,1,tech!$H$2),AM142),"")</f>
        <v/>
      </c>
      <c r="AR142" t="s">
        <v>495</v>
      </c>
      <c r="AS142" s="492"/>
      <c r="AT142" t="str">
        <f t="shared" si="181"/>
        <v>Infrastructure activities are periodically reviewed</v>
      </c>
      <c r="AU142" t="str">
        <f t="shared" si="198"/>
        <v>Guidance</v>
      </c>
      <c r="AV142" t="str">
        <f t="shared" si="141"/>
        <v>2.3.5.GX</v>
      </c>
      <c r="AW142" t="str">
        <f>IF(AND(AS142&lt;&gt;"",LEFT(AS142,1)&lt;&gt;"#"),IF(LEFT(AS142,1)="-",REPLACE(AS142,1,1,tech!$H$2),AS142),"")</f>
        <v/>
      </c>
      <c r="AX142" t="s">
        <v>495</v>
      </c>
      <c r="AY142" s="492"/>
      <c r="AZ142" t="str">
        <f t="shared" si="182"/>
        <v>Change management and agility is periodically reviewed</v>
      </c>
      <c r="BA142" t="str">
        <f t="shared" si="199"/>
        <v>References</v>
      </c>
      <c r="BB142" t="str">
        <f t="shared" si="143"/>
        <v>2.4.5.RX</v>
      </c>
      <c r="BC142" t="str">
        <f>IF(AND(AY142&lt;&gt;"",LEFT(AY142,1)&lt;&gt;"#"),IF(LEFT(AY142,1)="-",REPLACE(AY142,1,1,tech!$H$2),AY142),"")</f>
        <v/>
      </c>
      <c r="BD142" t="s">
        <v>495</v>
      </c>
      <c r="BE142" s="492" t="s">
        <v>501</v>
      </c>
      <c r="BF142" t="str">
        <f t="shared" si="183"/>
        <v>Competence and information sharing</v>
      </c>
      <c r="BG142" t="str">
        <f t="shared" si="200"/>
        <v>Assessment</v>
      </c>
      <c r="BH142" t="str">
        <f t="shared" si="145"/>
        <v>3.1.5.AX</v>
      </c>
      <c r="BI142" t="str">
        <f>IF(AND(BE142&lt;&gt;"",LEFT(BE142,1)&lt;&gt;"#"),IF(LEFT(BE142,1)="-",REPLACE(BE142,1,1,tech!$H$2),BE142),"")</f>
        <v/>
      </c>
      <c r="BJ142" t="s">
        <v>495</v>
      </c>
      <c r="BK142" s="492"/>
      <c r="BL142" t="str">
        <f t="shared" si="184"/>
        <v>Adoption and application of open standards</v>
      </c>
      <c r="BM142" t="str">
        <f t="shared" si="201"/>
        <v>References</v>
      </c>
      <c r="BN142" t="str">
        <f t="shared" si="147"/>
        <v>3.2.3.RX</v>
      </c>
      <c r="BO142" t="str">
        <f>IF(AND(BK142&lt;&gt;"",LEFT(BK142,1)&lt;&gt;"#"),IF(LEFT(BK142,1)="-",REPLACE(BK142,1,1,tech!$H$2),BK142),"")</f>
        <v/>
      </c>
      <c r="BP142" t="s">
        <v>495</v>
      </c>
      <c r="BQ142" s="492" t="s">
        <v>1205</v>
      </c>
      <c r="BR142" t="str">
        <f t="shared" si="185"/>
        <v>Critical events are immediately alerted and resolved according to incident response plans</v>
      </c>
      <c r="BS142" t="str">
        <f t="shared" si="202"/>
        <v>Assessment</v>
      </c>
      <c r="BT142" t="str">
        <f t="shared" si="149"/>
        <v>3.3.5.AY</v>
      </c>
      <c r="BU142" t="str">
        <f>IF(AND(BQ142&lt;&gt;"",LEFT(BQ142,1)&lt;&gt;"#"),IF(LEFT(BQ142,1)="-",REPLACE(BQ142,1,1,tech!$H$2),BQ142),"")</f>
        <v>• Interviews with personnel to check the Understanding of critical events and their handling</v>
      </c>
      <c r="BV142" t="s">
        <v>495</v>
      </c>
      <c r="BW142" s="492"/>
      <c r="BX142" t="str">
        <f t="shared" si="186"/>
        <v>Incidents and exceptions handling</v>
      </c>
      <c r="BY142" t="str">
        <f t="shared" si="203"/>
        <v>References</v>
      </c>
      <c r="BZ142" t="str">
        <f t="shared" si="151"/>
        <v>3.4.3.RX</v>
      </c>
      <c r="CA142" t="str">
        <f>IF(AND(BW142&lt;&gt;"",LEFT(BW142,1)&lt;&gt;"#"),IF(LEFT(BW142,1)="-",REPLACE(BW142,1,1,tech!$H$2),BW142),"")</f>
        <v/>
      </c>
      <c r="CB142" t="s">
        <v>495</v>
      </c>
      <c r="CC142" s="492"/>
      <c r="CD142" t="str">
        <f t="shared" si="187"/>
        <v>Resources are periodically reviewed</v>
      </c>
      <c r="CE142" t="str">
        <f t="shared" si="204"/>
        <v>References</v>
      </c>
      <c r="CF142" t="str">
        <f t="shared" si="153"/>
        <v>4.1.4.RX</v>
      </c>
      <c r="CG142" t="str">
        <f>IF(AND(CC142&lt;&gt;"",LEFT(CC142,1)&lt;&gt;"#"),IF(LEFT(CC142,1)="-",REPLACE(CC142,1,1,tech!$H$2),CC142),"")</f>
        <v/>
      </c>
      <c r="CH142" t="s">
        <v>495</v>
      </c>
      <c r="CI142" s="492" t="s">
        <v>498</v>
      </c>
      <c r="CJ142" t="str">
        <f t="shared" si="188"/>
        <v>Periodically review knowledge</v>
      </c>
      <c r="CK142" t="str">
        <f t="shared" si="205"/>
        <v>Guidance</v>
      </c>
      <c r="CL142" t="str">
        <f t="shared" si="155"/>
        <v>4.2.5.GX</v>
      </c>
      <c r="CM142" t="str">
        <f>IF(AND(CI142&lt;&gt;"",LEFT(CI142,1)&lt;&gt;"#"),IF(LEFT(CI142,1)="-",REPLACE(CI142,1,1,tech!$H$2),CI142),"")</f>
        <v/>
      </c>
      <c r="CN142" t="s">
        <v>495</v>
      </c>
      <c r="CO142" s="492"/>
      <c r="CP142" t="str">
        <f t="shared" si="189"/>
        <v>Timely communication of important information</v>
      </c>
      <c r="CQ142" t="str">
        <f t="shared" si="206"/>
        <v>References</v>
      </c>
      <c r="CR142" t="str">
        <f t="shared" si="157"/>
        <v>4.3.4.RX</v>
      </c>
      <c r="CS142" t="str">
        <f>IF(AND(CO142&lt;&gt;"",LEFT(CO142,1)&lt;&gt;"#"),IF(LEFT(CO142,1)="-",REPLACE(CO142,1,1,tech!$H$2),CO142),"")</f>
        <v/>
      </c>
      <c r="CT142" t="s">
        <v>495</v>
      </c>
    </row>
    <row r="143" spans="3:98" x14ac:dyDescent="0.25">
      <c r="C143" s="492"/>
      <c r="D143" t="str">
        <f t="shared" si="190"/>
        <v>Optimized</v>
      </c>
      <c r="E143" t="str">
        <f t="shared" si="191"/>
        <v>Associated risks</v>
      </c>
      <c r="F143" t="str">
        <f>_xlfn.CONCAT(VLOOKUP(D143,tech!$A$13:$B$17,2,0),LEFT(E143,1),IF(G143="","X","Y"))</f>
        <v>5AX</v>
      </c>
      <c r="G143" t="str">
        <f>IF(IF(LEFT(C143,1)="-",C143,"")="","",REPLACE(IF(LEFT(C143,1)="-",C143,""),1,1,tech!$H$2))</f>
        <v/>
      </c>
      <c r="H143" t="s">
        <v>495</v>
      </c>
      <c r="I143" s="492"/>
      <c r="J143" t="str">
        <f t="shared" si="175"/>
        <v>Architecture and design of the PKI</v>
      </c>
      <c r="K143" t="str">
        <f t="shared" si="192"/>
        <v>References</v>
      </c>
      <c r="L143" t="str">
        <f t="shared" si="129"/>
        <v>1.1.4.RX</v>
      </c>
      <c r="M143" t="str">
        <f>IF(AND(I143&lt;&gt;"",LEFT(I143,1)&lt;&gt;"#"),IF(LEFT(I143,1)="-",REPLACE(I143,1,1,tech!$H$2),I143),"")</f>
        <v/>
      </c>
      <c r="N143" t="s">
        <v>495</v>
      </c>
      <c r="O143" s="492" t="s">
        <v>598</v>
      </c>
      <c r="P143" t="str">
        <f t="shared" si="176"/>
        <v>Policies are periodically reviewed and updated</v>
      </c>
      <c r="Q143" t="str">
        <f t="shared" si="193"/>
        <v>Assessment</v>
      </c>
      <c r="R143" t="str">
        <f t="shared" si="131"/>
        <v>1.2.5.AY</v>
      </c>
      <c r="S143" t="str">
        <f>IF(AND(O143&lt;&gt;"",LEFT(O143,1)&lt;&gt;"#"),IF(LEFT(O143,1)="-",REPLACE(O143,1,1,tech!$H$2),O143),"")</f>
        <v>• Validation of documentation and reviews</v>
      </c>
      <c r="T143" t="s">
        <v>495</v>
      </c>
      <c r="U143" s="492"/>
      <c r="V143" t="str">
        <f t="shared" si="177"/>
        <v>List of relevant laws, regulations, and standards, exist and is maintained</v>
      </c>
      <c r="W143" t="str">
        <f t="shared" si="194"/>
        <v>References</v>
      </c>
      <c r="X143" t="str">
        <f t="shared" si="133"/>
        <v>1.3.4.RX</v>
      </c>
      <c r="Y143" t="str">
        <f>IF(AND(U143&lt;&gt;"",LEFT(U143,1)&lt;&gt;"#"),IF(LEFT(U143,1)="-",REPLACE(U143,1,1,tech!$H$2),U143),"")</f>
        <v/>
      </c>
      <c r="Z143" t="s">
        <v>495</v>
      </c>
      <c r="AA143" s="492"/>
      <c r="AB143" t="str">
        <f t="shared" si="178"/>
        <v>Processes and procedures are reviewed and updated</v>
      </c>
      <c r="AC143" t="str">
        <f t="shared" si="195"/>
        <v>References</v>
      </c>
      <c r="AD143" t="str">
        <f t="shared" si="135"/>
        <v>1.4.5.RX</v>
      </c>
      <c r="AE143" t="str">
        <f>IF(AND(AA143&lt;&gt;"",LEFT(AA143,1)&lt;&gt;"#"),IF(LEFT(AA143,1)="-",REPLACE(AA143,1,1,tech!$H$2),AA143),"")</f>
        <v/>
      </c>
      <c r="AF143" t="s">
        <v>495</v>
      </c>
      <c r="AG143" s="492"/>
      <c r="AH143" t="str">
        <f t="shared" si="179"/>
        <v>Cryptographic cipher suites and protocols are documented and maintained</v>
      </c>
      <c r="AI143" t="str">
        <f t="shared" si="196"/>
        <v>References</v>
      </c>
      <c r="AJ143" t="str">
        <f t="shared" si="137"/>
        <v>2.1.5.RX</v>
      </c>
      <c r="AK143" t="str">
        <f>IF(AND(AG143&lt;&gt;"",LEFT(AG143,1)&lt;&gt;"#"),IF(LEFT(AG143,1)="-",REPLACE(AG143,1,1,tech!$H$2),AG143),"")</f>
        <v/>
      </c>
      <c r="AL143" t="s">
        <v>495</v>
      </c>
      <c r="AM143" s="492" t="s">
        <v>503</v>
      </c>
      <c r="AN143" t="str">
        <f t="shared" si="180"/>
        <v>Inventory of issued certificates is documented</v>
      </c>
      <c r="AO143" t="str">
        <f t="shared" si="197"/>
        <v>References</v>
      </c>
      <c r="AP143" t="str">
        <f t="shared" si="139"/>
        <v>2.2.4.RX</v>
      </c>
      <c r="AQ143" t="str">
        <f>IF(AND(AM143&lt;&gt;"",LEFT(AM143,1)&lt;&gt;"#"),IF(LEFT(AM143,1)="-",REPLACE(AM143,1,1,tech!$H$2),AM143),"")</f>
        <v/>
      </c>
      <c r="AR143" t="s">
        <v>495</v>
      </c>
      <c r="AS143" s="492" t="s">
        <v>501</v>
      </c>
      <c r="AT143" t="str">
        <f t="shared" si="181"/>
        <v>Infrastructure activities are periodically reviewed</v>
      </c>
      <c r="AU143" t="str">
        <f t="shared" si="198"/>
        <v>Assessment</v>
      </c>
      <c r="AV143" t="str">
        <f t="shared" si="141"/>
        <v>2.3.5.AX</v>
      </c>
      <c r="AW143" t="str">
        <f>IF(AND(AS143&lt;&gt;"",LEFT(AS143,1)&lt;&gt;"#"),IF(LEFT(AS143,1)="-",REPLACE(AS143,1,1,tech!$H$2),AS143),"")</f>
        <v/>
      </c>
      <c r="AX143" t="s">
        <v>495</v>
      </c>
      <c r="AY143" s="492" t="s">
        <v>964</v>
      </c>
      <c r="AZ143" t="str">
        <f t="shared" si="182"/>
        <v>Change management and agility is periodically reviewed</v>
      </c>
      <c r="BA143" t="str">
        <f t="shared" si="199"/>
        <v>References</v>
      </c>
      <c r="BB143" t="str">
        <f t="shared" si="143"/>
        <v>2.4.5.RY</v>
      </c>
      <c r="BC143" t="str">
        <f>IF(AND(AY143&lt;&gt;"",LEFT(AY143,1)&lt;&gt;"#"),IF(LEFT(AY143,1)="-",REPLACE(AY143,1,1,tech!$H$2),AY143),"")</f>
        <v>• [COBIT (Control Objectives for Information and Related Technologies)](https://www.isaca.org/resources/cobit)</v>
      </c>
      <c r="BD143" t="s">
        <v>495</v>
      </c>
      <c r="BE143" s="492"/>
      <c r="BF143" t="str">
        <f t="shared" si="183"/>
        <v>Competence and information sharing</v>
      </c>
      <c r="BG143" t="str">
        <f t="shared" si="200"/>
        <v>Assessment</v>
      </c>
      <c r="BH143" t="str">
        <f t="shared" si="145"/>
        <v>3.1.5.AX</v>
      </c>
      <c r="BI143" t="str">
        <f>IF(AND(BE143&lt;&gt;"",LEFT(BE143,1)&lt;&gt;"#"),IF(LEFT(BE143,1)="-",REPLACE(BE143,1,1,tech!$H$2),BE143),"")</f>
        <v/>
      </c>
      <c r="BJ143" t="s">
        <v>495</v>
      </c>
      <c r="BK143" s="492"/>
      <c r="BL143" t="str">
        <f t="shared" si="184"/>
        <v>Adoption and application of open standards</v>
      </c>
      <c r="BM143" t="str">
        <f t="shared" si="201"/>
        <v>References</v>
      </c>
      <c r="BN143" t="str">
        <f t="shared" si="147"/>
        <v>3.2.3.RX</v>
      </c>
      <c r="BO143" t="str">
        <f>IF(AND(BK143&lt;&gt;"",LEFT(BK143,1)&lt;&gt;"#"),IF(LEFT(BK143,1)="-",REPLACE(BK143,1,1,tech!$H$2),BK143),"")</f>
        <v/>
      </c>
      <c r="BP143" t="s">
        <v>495</v>
      </c>
      <c r="BQ143" s="492"/>
      <c r="BR143" t="str">
        <f t="shared" si="185"/>
        <v>Critical events are immediately alerted and resolved according to incident response plans</v>
      </c>
      <c r="BS143" t="str">
        <f t="shared" si="202"/>
        <v>Assessment</v>
      </c>
      <c r="BT143" t="str">
        <f t="shared" si="149"/>
        <v>3.3.5.AX</v>
      </c>
      <c r="BU143" t="str">
        <f>IF(AND(BQ143&lt;&gt;"",LEFT(BQ143,1)&lt;&gt;"#"),IF(LEFT(BQ143,1)="-",REPLACE(BQ143,1,1,tech!$H$2),BQ143),"")</f>
        <v/>
      </c>
      <c r="BV143" t="s">
        <v>495</v>
      </c>
      <c r="BW143" s="492"/>
      <c r="BX143" t="str">
        <f t="shared" si="186"/>
        <v>Incidents and exceptions handling</v>
      </c>
      <c r="BY143" t="str">
        <f t="shared" si="203"/>
        <v>References</v>
      </c>
      <c r="BZ143" t="str">
        <f t="shared" si="151"/>
        <v>3.4.3.RX</v>
      </c>
      <c r="CA143" t="str">
        <f>IF(AND(BW143&lt;&gt;"",LEFT(BW143,1)&lt;&gt;"#"),IF(LEFT(BW143,1)="-",REPLACE(BW143,1,1,tech!$H$2),BW143),"")</f>
        <v/>
      </c>
      <c r="CB143" t="s">
        <v>495</v>
      </c>
      <c r="CC143" s="492"/>
      <c r="CD143" t="str">
        <f t="shared" si="187"/>
        <v>Resources are periodically reviewed</v>
      </c>
      <c r="CE143" t="str">
        <f t="shared" si="204"/>
        <v>References</v>
      </c>
      <c r="CF143" t="str">
        <f t="shared" si="153"/>
        <v>4.1.4.RX</v>
      </c>
      <c r="CG143" t="str">
        <f>IF(AND(CC143&lt;&gt;"",LEFT(CC143,1)&lt;&gt;"#"),IF(LEFT(CC143,1)="-",REPLACE(CC143,1,1,tech!$H$2),CC143),"")</f>
        <v/>
      </c>
      <c r="CH143" t="s">
        <v>495</v>
      </c>
      <c r="CI143" s="492"/>
      <c r="CJ143" t="str">
        <f t="shared" si="188"/>
        <v>Periodically review knowledge</v>
      </c>
      <c r="CK143" t="str">
        <f t="shared" si="205"/>
        <v>Guidance</v>
      </c>
      <c r="CL143" t="str">
        <f t="shared" si="155"/>
        <v>4.2.5.GX</v>
      </c>
      <c r="CM143" t="str">
        <f>IF(AND(CI143&lt;&gt;"",LEFT(CI143,1)&lt;&gt;"#"),IF(LEFT(CI143,1)="-",REPLACE(CI143,1,1,tech!$H$2),CI143),"")</f>
        <v/>
      </c>
      <c r="CN143" t="s">
        <v>495</v>
      </c>
      <c r="CO143" s="492"/>
      <c r="CP143" t="str">
        <f t="shared" si="189"/>
        <v>Timely communication of important information</v>
      </c>
      <c r="CQ143" t="str">
        <f t="shared" si="206"/>
        <v>References</v>
      </c>
      <c r="CR143" t="str">
        <f t="shared" si="157"/>
        <v>4.3.4.RX</v>
      </c>
      <c r="CS143" t="str">
        <f>IF(AND(CO143&lt;&gt;"",LEFT(CO143,1)&lt;&gt;"#"),IF(LEFT(CO143,1)="-",REPLACE(CO143,1,1,tech!$H$2),CO143),"")</f>
        <v/>
      </c>
      <c r="CT143" t="s">
        <v>495</v>
      </c>
    </row>
    <row r="144" spans="3:98" x14ac:dyDescent="0.25">
      <c r="C144" s="492"/>
      <c r="D144" t="str">
        <f t="shared" si="190"/>
        <v>Optimized</v>
      </c>
      <c r="E144" t="str">
        <f t="shared" si="191"/>
        <v>Associated risks</v>
      </c>
      <c r="F144" t="str">
        <f>_xlfn.CONCAT(VLOOKUP(D144,tech!$A$13:$B$17,2,0),LEFT(E144,1),IF(G144="","X","Y"))</f>
        <v>5AX</v>
      </c>
      <c r="G144" t="str">
        <f>IF(IF(LEFT(C144,1)="-",C144,"")="","",REPLACE(IF(LEFT(C144,1)="-",C144,""),1,1,tech!$H$2))</f>
        <v/>
      </c>
      <c r="H144" t="s">
        <v>495</v>
      </c>
      <c r="I144" s="492"/>
      <c r="J144" t="str">
        <f t="shared" si="175"/>
        <v>Architecture and design of the PKI</v>
      </c>
      <c r="K144" t="str">
        <f t="shared" si="192"/>
        <v>References</v>
      </c>
      <c r="L144" t="str">
        <f t="shared" ref="L144:L148" si="207">_xlfn.CONCAT(IFERROR(VLOOKUP(J144,$L$4:$M$13,2,0),""),LEFT(K144,1),IF(M144="",IF(AND(M143&lt;&gt;"",M145&lt;&gt;""),"Y","X"),"Y"))</f>
        <v>1.1.4.RX</v>
      </c>
      <c r="M144" t="str">
        <f>IF(AND(I144&lt;&gt;"",LEFT(I144,1)&lt;&gt;"#"),IF(LEFT(I144,1)="-",REPLACE(I144,1,1,tech!$H$2),I144),"")</f>
        <v/>
      </c>
      <c r="N144" t="s">
        <v>495</v>
      </c>
      <c r="O144" s="492" t="s">
        <v>599</v>
      </c>
      <c r="P144" t="str">
        <f t="shared" si="176"/>
        <v>Policies are periodically reviewed and updated</v>
      </c>
      <c r="Q144" t="str">
        <f t="shared" si="193"/>
        <v>Assessment</v>
      </c>
      <c r="R144" t="str">
        <f t="shared" ref="R144:R148" si="208">_xlfn.CONCAT(IFERROR(VLOOKUP(P144,$R$4:$S$13,2,0),""),LEFT(Q144,1),IF(S144="",IF(AND(S143&lt;&gt;"",S145&lt;&gt;""),"Y","X"),"Y"))</f>
        <v>1.2.5.AY</v>
      </c>
      <c r="S144" t="str">
        <f>IF(AND(O144&lt;&gt;"",LEFT(O144,1)&lt;&gt;"#"),IF(LEFT(O144,1)="-",REPLACE(O144,1,1,tech!$H$2),O144),"")</f>
        <v>• Interview with the management and PKI responsible personnel to confirm the policies are reviewed and updated periodically</v>
      </c>
      <c r="T144" t="s">
        <v>495</v>
      </c>
      <c r="U144" s="492"/>
      <c r="V144" t="str">
        <f t="shared" si="177"/>
        <v>List of relevant laws, regulations, and standards, exist and is maintained</v>
      </c>
      <c r="W144" t="str">
        <f t="shared" si="194"/>
        <v>References</v>
      </c>
      <c r="X144" t="str">
        <f t="shared" ref="X144:X148" si="209">_xlfn.CONCAT(IFERROR(VLOOKUP(V144,X$4:Y$13,2,0),""),LEFT(W144,1),IF(Y144="",IF(AND(Y143&lt;&gt;"",Y145&lt;&gt;""),"Y","X"),"Y"))</f>
        <v>1.3.4.RX</v>
      </c>
      <c r="Y144" t="str">
        <f>IF(AND(U144&lt;&gt;"",LEFT(U144,1)&lt;&gt;"#"),IF(LEFT(U144,1)="-",REPLACE(U144,1,1,tech!$H$2),U144),"")</f>
        <v/>
      </c>
      <c r="Z144" t="s">
        <v>495</v>
      </c>
      <c r="AA144" s="492"/>
      <c r="AB144" t="str">
        <f t="shared" si="178"/>
        <v>Processes and procedures are reviewed and updated</v>
      </c>
      <c r="AC144" t="str">
        <f t="shared" si="195"/>
        <v>References</v>
      </c>
      <c r="AD144" t="str">
        <f t="shared" ref="AD144:AD148" si="210">_xlfn.CONCAT(IFERROR(VLOOKUP(AB144,AD$4:AE$13,2,0),""),LEFT(AC144,1),IF(AE144="",IF(AND(AE143&lt;&gt;"",AE145&lt;&gt;""),"Y","X"),"Y"))</f>
        <v>1.4.5.RX</v>
      </c>
      <c r="AE144" t="str">
        <f>IF(AND(AA144&lt;&gt;"",LEFT(AA144,1)&lt;&gt;"#"),IF(LEFT(AA144,1)="-",REPLACE(AA144,1,1,tech!$H$2),AA144),"")</f>
        <v/>
      </c>
      <c r="AF144" t="s">
        <v>495</v>
      </c>
      <c r="AG144" s="492" t="s">
        <v>730</v>
      </c>
      <c r="AH144" t="str">
        <f t="shared" si="179"/>
        <v>Key management is periodically reviewed and updated</v>
      </c>
      <c r="AI144" t="str">
        <f t="shared" si="196"/>
        <v>References</v>
      </c>
      <c r="AJ144" t="str">
        <f t="shared" ref="AJ144:AJ148" si="211">_xlfn.CONCAT(IFERROR(VLOOKUP(AH144,AJ$4:AK$13,2,0),""),LEFT(AI144,1),IF(AK144="",IF(AND(AK143&lt;&gt;"",AK145&lt;&gt;""),"Y","X"),"Y"))</f>
        <v>2.1.6.RX</v>
      </c>
      <c r="AK144" t="str">
        <f>IF(AND(AG144&lt;&gt;"",LEFT(AG144,1)&lt;&gt;"#"),IF(LEFT(AG144,1)="-",REPLACE(AG144,1,1,tech!$H$2),AG144),"")</f>
        <v/>
      </c>
      <c r="AL144" t="s">
        <v>495</v>
      </c>
      <c r="AM144" s="492"/>
      <c r="AN144" t="str">
        <f t="shared" si="180"/>
        <v>Inventory of issued certificates is documented</v>
      </c>
      <c r="AO144" t="str">
        <f t="shared" si="197"/>
        <v>References</v>
      </c>
      <c r="AP144" t="str">
        <f t="shared" ref="AP144:AP200" si="212">_xlfn.CONCAT(IFERROR(VLOOKUP(AN144,AP$4:AQ$13,2,0),""),LEFT(AO144,1),IF(AQ144="",IF(AND(AQ143&lt;&gt;"",AQ145&lt;&gt;""),"Y","X"),"Y"))</f>
        <v>2.2.4.RX</v>
      </c>
      <c r="AQ144" t="str">
        <f>IF(AND(AM144&lt;&gt;"",LEFT(AM144,1)&lt;&gt;"#"),IF(LEFT(AM144,1)="-",REPLACE(AM144,1,1,tech!$H$2),AM144),"")</f>
        <v/>
      </c>
      <c r="AR144" t="s">
        <v>495</v>
      </c>
      <c r="AS144" s="492"/>
      <c r="AT144" t="str">
        <f t="shared" si="181"/>
        <v>Infrastructure activities are periodically reviewed</v>
      </c>
      <c r="AU144" t="str">
        <f t="shared" si="198"/>
        <v>Assessment</v>
      </c>
      <c r="AV144" t="str">
        <f t="shared" ref="AV144:AV207" si="213">_xlfn.CONCAT(IFERROR(VLOOKUP(AT144,AV$4:AW$13,2,0),""),LEFT(AU144,1),IF(AW144="",IF(AND(AW143&lt;&gt;"",AW145&lt;&gt;""),"Y","X"),"Y"))</f>
        <v>2.3.5.AX</v>
      </c>
      <c r="AW144" t="str">
        <f>IF(AND(AS144&lt;&gt;"",LEFT(AS144,1)&lt;&gt;"#"),IF(LEFT(AS144,1)="-",REPLACE(AS144,1,1,tech!$H$2),AS144),"")</f>
        <v/>
      </c>
      <c r="AX144" t="s">
        <v>495</v>
      </c>
      <c r="AY144" s="492" t="s">
        <v>896</v>
      </c>
      <c r="AZ144" t="str">
        <f t="shared" si="182"/>
        <v>Change management and agility is periodically reviewed</v>
      </c>
      <c r="BA144" t="str">
        <f t="shared" si="199"/>
        <v>References</v>
      </c>
      <c r="BB144" t="str">
        <f t="shared" ref="BB144:BB207" si="214">_xlfn.CONCAT(IFERROR(VLOOKUP(AZ144,BB$4:BC$13,2,0),""),LEFT(BA144,1),IF(BC144="",IF(AND(BC143&lt;&gt;"",BC145&lt;&gt;""),"Y","X"),"Y"))</f>
        <v>2.4.5.RY</v>
      </c>
      <c r="BC144" t="str">
        <f>IF(AND(AY144&lt;&gt;"",LEFT(AY144,1)&lt;&gt;"#"),IF(LEFT(AY144,1)="-",REPLACE(AY144,1,1,tech!$H$2),AY144),"")</f>
        <v>• [ISO/IEC 20000 and related standards](https://www.iso.org/standard/70636.html)</v>
      </c>
      <c r="BD144" t="s">
        <v>495</v>
      </c>
      <c r="BE144" s="492" t="s">
        <v>502</v>
      </c>
      <c r="BF144" t="str">
        <f t="shared" si="183"/>
        <v>Competence and information sharing</v>
      </c>
      <c r="BG144" t="str">
        <f t="shared" si="200"/>
        <v>Assessment</v>
      </c>
      <c r="BH144" t="str">
        <f t="shared" ref="BH144:BH207" si="215">_xlfn.CONCAT(IFERROR(VLOOKUP(BF144,BH$4:BI$13,2,0),""),LEFT(BG144,1),IF(BI144="",IF(AND(BI143&lt;&gt;"",BI145&lt;&gt;""),"Y","X"),"Y"))</f>
        <v>3.1.5.AY</v>
      </c>
      <c r="BI144" t="str">
        <f>IF(AND(BE144&lt;&gt;"",LEFT(BE144,1)&lt;&gt;"#"),IF(LEFT(BE144,1)="-",REPLACE(BE144,1,1,tech!$H$2),BE144),"")</f>
        <v>The following is sample evidence that can be used to assess the requirement:</v>
      </c>
      <c r="BJ144" t="s">
        <v>495</v>
      </c>
      <c r="BK144" s="492"/>
      <c r="BL144" t="str">
        <f t="shared" si="184"/>
        <v>Adoption and application of open standards</v>
      </c>
      <c r="BM144" t="str">
        <f t="shared" si="201"/>
        <v>References</v>
      </c>
      <c r="BN144" t="str">
        <f t="shared" ref="BN144:BN207" si="216">_xlfn.CONCAT(IFERROR(VLOOKUP(BL144,BN$4:BO$13,2,0),""),LEFT(BM144,1),IF(BO144="",IF(AND(BO143&lt;&gt;"",BO145&lt;&gt;""),"Y","X"),"Y"))</f>
        <v>3.2.3.RX</v>
      </c>
      <c r="BO144" t="str">
        <f>IF(AND(BK144&lt;&gt;"",LEFT(BK144,1)&lt;&gt;"#"),IF(LEFT(BK144,1)="-",REPLACE(BK144,1,1,tech!$H$2),BK144),"")</f>
        <v/>
      </c>
      <c r="BP144" t="s">
        <v>495</v>
      </c>
      <c r="BQ144" s="492" t="s">
        <v>503</v>
      </c>
      <c r="BR144" t="str">
        <f t="shared" si="185"/>
        <v>Critical events are immediately alerted and resolved according to incident response plans</v>
      </c>
      <c r="BS144" t="str">
        <f t="shared" si="202"/>
        <v>References</v>
      </c>
      <c r="BT144" t="str">
        <f t="shared" ref="BT144:BT207" si="217">_xlfn.CONCAT(IFERROR(VLOOKUP(BR144,BT$4:BU$13,2,0),""),LEFT(BS144,1),IF(BU144="",IF(AND(BU143&lt;&gt;"",BU145&lt;&gt;""),"Y","X"),"Y"))</f>
        <v>3.3.5.RX</v>
      </c>
      <c r="BU144" t="str">
        <f>IF(AND(BQ144&lt;&gt;"",LEFT(BQ144,1)&lt;&gt;"#"),IF(LEFT(BQ144,1)="-",REPLACE(BQ144,1,1,tech!$H$2),BQ144),"")</f>
        <v/>
      </c>
      <c r="BV144" t="s">
        <v>495</v>
      </c>
      <c r="BW144" s="492"/>
      <c r="BX144" t="str">
        <f t="shared" si="186"/>
        <v>Incidents and exceptions handling</v>
      </c>
      <c r="BY144" t="str">
        <f t="shared" si="203"/>
        <v>References</v>
      </c>
      <c r="BZ144" t="str">
        <f t="shared" ref="BZ144:BZ207" si="218">_xlfn.CONCAT(IFERROR(VLOOKUP(BX144,BZ$4:CA$13,2,0),""),LEFT(BY144,1),IF(CA144="",IF(AND(CA143&lt;&gt;"",CA145&lt;&gt;""),"Y","X"),"Y"))</f>
        <v>3.4.3.RX</v>
      </c>
      <c r="CA144" t="str">
        <f>IF(AND(BW144&lt;&gt;"",LEFT(BW144,1)&lt;&gt;"#"),IF(LEFT(BW144,1)="-",REPLACE(BW144,1,1,tech!$H$2),BW144),"")</f>
        <v/>
      </c>
      <c r="CB144" t="s">
        <v>495</v>
      </c>
      <c r="CC144" s="492"/>
      <c r="CD144" t="str">
        <f t="shared" si="187"/>
        <v>Resources are periodically reviewed</v>
      </c>
      <c r="CE144" t="str">
        <f t="shared" si="204"/>
        <v>References</v>
      </c>
      <c r="CF144" t="str">
        <f t="shared" ref="CF144:CF207" si="219">_xlfn.CONCAT(IFERROR(VLOOKUP(CD144,CF$4:CG$13,2,0),""),LEFT(CE144,1),IF(CG144="",IF(AND(CG143&lt;&gt;"",CG145&lt;&gt;""),"Y","X"),"Y"))</f>
        <v>4.1.4.RX</v>
      </c>
      <c r="CG144" t="str">
        <f>IF(AND(CC144&lt;&gt;"",LEFT(CC144,1)&lt;&gt;"#"),IF(LEFT(CC144,1)="-",REPLACE(CC144,1,1,tech!$H$2),CC144),"")</f>
        <v/>
      </c>
      <c r="CH144" t="s">
        <v>495</v>
      </c>
      <c r="CI144" s="492" t="s">
        <v>1316</v>
      </c>
      <c r="CJ144" t="str">
        <f t="shared" si="188"/>
        <v>Periodically review knowledge</v>
      </c>
      <c r="CK144" t="str">
        <f t="shared" si="205"/>
        <v>Guidance</v>
      </c>
      <c r="CL144" t="str">
        <f t="shared" ref="CL144:CL207" si="220">_xlfn.CONCAT(IFERROR(VLOOKUP(CJ144,CL$4:CM$13,2,0),""),LEFT(CK144,1),IF(CM144="",IF(AND(CM143&lt;&gt;"",CM145&lt;&gt;""),"Y","X"),"Y"))</f>
        <v>4.2.5.GY</v>
      </c>
      <c r="CM144" t="str">
        <f>IF(AND(CI144&lt;&gt;"",LEFT(CI144,1)&lt;&gt;"#"),IF(LEFT(CI144,1)="-",REPLACE(CI144,1,1,tech!$H$2),CI144),"")</f>
        <v>The training plan should be reviewed and updated periodically to ensure that it is up-to-date and covers all aspects of the specific PKI implementation.</v>
      </c>
      <c r="CN144" t="s">
        <v>495</v>
      </c>
      <c r="CO144" s="492"/>
      <c r="CP144" t="str">
        <f t="shared" si="189"/>
        <v>Timely communication of important information</v>
      </c>
      <c r="CQ144" t="str">
        <f t="shared" si="206"/>
        <v>References</v>
      </c>
      <c r="CR144" t="str">
        <f t="shared" ref="CR144:CR207" si="221">_xlfn.CONCAT(IFERROR(VLOOKUP(CP144,CR$4:CS$13,2,0),""),LEFT(CQ144,1),IF(CS144="",IF(AND(CS143&lt;&gt;"",CS145&lt;&gt;""),"Y","X"),"Y"))</f>
        <v>4.3.4.RX</v>
      </c>
      <c r="CS144" t="str">
        <f>IF(AND(CO144&lt;&gt;"",LEFT(CO144,1)&lt;&gt;"#"),IF(LEFT(CO144,1)="-",REPLACE(CO144,1,1,tech!$H$2),CO144),"")</f>
        <v/>
      </c>
      <c r="CT144" t="s">
        <v>495</v>
      </c>
    </row>
    <row r="145" spans="3:98" x14ac:dyDescent="0.25">
      <c r="C145" s="492"/>
      <c r="D145" t="str">
        <f t="shared" si="190"/>
        <v>Optimized</v>
      </c>
      <c r="E145" t="str">
        <f t="shared" si="191"/>
        <v>Associated risks</v>
      </c>
      <c r="F145" t="str">
        <f>_xlfn.CONCAT(VLOOKUP(D145,tech!$A$13:$B$17,2,0),LEFT(E145,1),IF(G145="","X","Y"))</f>
        <v>5AX</v>
      </c>
      <c r="G145" t="str">
        <f>IF(IF(LEFT(C145,1)="-",C145,"")="","",REPLACE(IF(LEFT(C145,1)="-",C145,""),1,1,tech!$H$2))</f>
        <v/>
      </c>
      <c r="H145" t="s">
        <v>495</v>
      </c>
      <c r="I145" s="492"/>
      <c r="J145" t="str">
        <f t="shared" si="175"/>
        <v>Architecture and design of the PKI</v>
      </c>
      <c r="K145" t="str">
        <f t="shared" si="192"/>
        <v>References</v>
      </c>
      <c r="L145" t="str">
        <f t="shared" si="207"/>
        <v>1.1.4.RX</v>
      </c>
      <c r="M145" t="str">
        <f>IF(AND(I145&lt;&gt;"",LEFT(I145,1)&lt;&gt;"#"),IF(LEFT(I145,1)="-",REPLACE(I145,1,1,tech!$H$2),I145),"")</f>
        <v/>
      </c>
      <c r="N145" t="s">
        <v>495</v>
      </c>
      <c r="O145" s="492"/>
      <c r="P145" t="str">
        <f t="shared" si="176"/>
        <v>Policies are periodically reviewed and updated</v>
      </c>
      <c r="Q145" t="str">
        <f t="shared" si="193"/>
        <v>Assessment</v>
      </c>
      <c r="R145" t="str">
        <f t="shared" si="208"/>
        <v>1.2.5.AX</v>
      </c>
      <c r="S145" t="str">
        <f>IF(AND(O145&lt;&gt;"",LEFT(O145,1)&lt;&gt;"#"),IF(LEFT(O145,1)="-",REPLACE(O145,1,1,tech!$H$2),O145),"")</f>
        <v/>
      </c>
      <c r="T145" t="s">
        <v>495</v>
      </c>
      <c r="U145" s="492"/>
      <c r="V145" t="str">
        <f t="shared" si="177"/>
        <v>List of relevant laws, regulations, and standards, exist and is maintained</v>
      </c>
      <c r="W145" t="str">
        <f t="shared" si="194"/>
        <v>References</v>
      </c>
      <c r="X145" t="str">
        <f t="shared" si="209"/>
        <v>1.3.4.RX</v>
      </c>
      <c r="Y145" t="str">
        <f>IF(AND(U145&lt;&gt;"",LEFT(U145,1)&lt;&gt;"#"),IF(LEFT(U145,1)="-",REPLACE(U145,1,1,tech!$H$2),U145),"")</f>
        <v/>
      </c>
      <c r="Z145" t="s">
        <v>495</v>
      </c>
      <c r="AA145" s="492"/>
      <c r="AB145" t="str">
        <f t="shared" si="178"/>
        <v>Processes and procedures are reviewed and updated</v>
      </c>
      <c r="AC145" t="str">
        <f t="shared" si="195"/>
        <v>References</v>
      </c>
      <c r="AD145" t="str">
        <f t="shared" si="210"/>
        <v>1.4.5.RX</v>
      </c>
      <c r="AE145" t="str">
        <f>IF(AND(AA145&lt;&gt;"",LEFT(AA145,1)&lt;&gt;"#"),IF(LEFT(AA145,1)="-",REPLACE(AA145,1,1,tech!$H$2),AA145),"")</f>
        <v/>
      </c>
      <c r="AF145" t="s">
        <v>495</v>
      </c>
      <c r="AG145" s="492"/>
      <c r="AH145" t="str">
        <f t="shared" si="179"/>
        <v>Key management is periodically reviewed and updated</v>
      </c>
      <c r="AI145" t="str">
        <f t="shared" si="196"/>
        <v>References</v>
      </c>
      <c r="AJ145" t="str">
        <f t="shared" si="211"/>
        <v>2.1.6.RX</v>
      </c>
      <c r="AK145" t="str">
        <f>IF(AND(AG145&lt;&gt;"",LEFT(AG145,1)&lt;&gt;"#"),IF(LEFT(AG145,1)="-",REPLACE(AG145,1,1,tech!$H$2),AG145),"")</f>
        <v/>
      </c>
      <c r="AL145" t="s">
        <v>495</v>
      </c>
      <c r="AM145" s="492" t="s">
        <v>855</v>
      </c>
      <c r="AN145" t="str">
        <f t="shared" si="180"/>
        <v>Inventory of issued certificates is documented</v>
      </c>
      <c r="AO145" t="str">
        <f t="shared" si="197"/>
        <v>References</v>
      </c>
      <c r="AP145" t="str">
        <f t="shared" si="212"/>
        <v>2.2.4.RY</v>
      </c>
      <c r="AQ145" t="str">
        <f>IF(AND(AM145&lt;&gt;"",LEFT(AM145,1)&lt;&gt;"#"),IF(LEFT(AM145,1)="-",REPLACE(AM145,1,1,tech!$H$2),AM145),"")</f>
        <v>* [RFC 3647 - Internet X.509 Public Key Infrastructure</v>
      </c>
      <c r="AR145" t="s">
        <v>495</v>
      </c>
      <c r="AS145" s="492" t="s">
        <v>502</v>
      </c>
      <c r="AT145" t="str">
        <f t="shared" si="181"/>
        <v>Infrastructure activities are periodically reviewed</v>
      </c>
      <c r="AU145" t="str">
        <f t="shared" si="198"/>
        <v>Assessment</v>
      </c>
      <c r="AV145" t="str">
        <f t="shared" si="213"/>
        <v>2.3.5.AY</v>
      </c>
      <c r="AW145" t="str">
        <f>IF(AND(AS145&lt;&gt;"",LEFT(AS145,1)&lt;&gt;"#"),IF(LEFT(AS145,1)="-",REPLACE(AS145,1,1,tech!$H$2),AS145),"")</f>
        <v>The following is sample evidence that can be used to assess the requirement:</v>
      </c>
      <c r="AX145" t="s">
        <v>495</v>
      </c>
      <c r="AY145" s="492" t="s">
        <v>965</v>
      </c>
      <c r="AZ145" t="str">
        <f t="shared" si="182"/>
        <v>Change management and agility is periodically reviewed</v>
      </c>
      <c r="BA145" t="str">
        <f t="shared" si="199"/>
        <v>References</v>
      </c>
      <c r="BB145" t="str">
        <f t="shared" si="214"/>
        <v>2.4.5.RY</v>
      </c>
      <c r="BC145" t="str">
        <f>IF(AND(AY145&lt;&gt;"",LEFT(AY145,1)&lt;&gt;"#"),IF(LEFT(AY145,1)="-",REPLACE(AY145,1,1,tech!$H$2),AY145),"")</f>
        <v>• [The Information Technology Infrastructure Library (ITIL)](https://www.axelos.com/best-practice-solutions/itil)</v>
      </c>
      <c r="BD145" t="s">
        <v>495</v>
      </c>
      <c r="BE145" s="492" t="s">
        <v>1083</v>
      </c>
      <c r="BF145" t="str">
        <f t="shared" si="183"/>
        <v>Competence and information sharing</v>
      </c>
      <c r="BG145" t="str">
        <f t="shared" si="200"/>
        <v>Assessment</v>
      </c>
      <c r="BH145" t="str">
        <f t="shared" si="215"/>
        <v>3.1.5.AY</v>
      </c>
      <c r="BI145" t="str">
        <f>IF(AND(BE145&lt;&gt;"",LEFT(BE145,1)&lt;&gt;"#"),IF(LEFT(BE145,1)="-",REPLACE(BE145,1,1,tech!$H$2),BE145),"")</f>
        <v>• documentation and collaboration</v>
      </c>
      <c r="BJ145" t="s">
        <v>495</v>
      </c>
      <c r="BK145" s="492"/>
      <c r="BL145" t="str">
        <f t="shared" si="184"/>
        <v>Adoption and application of open standards</v>
      </c>
      <c r="BM145" t="str">
        <f t="shared" si="201"/>
        <v>References</v>
      </c>
      <c r="BN145" t="str">
        <f t="shared" si="216"/>
        <v>3.2.3.RX</v>
      </c>
      <c r="BO145" t="str">
        <f>IF(AND(BK145&lt;&gt;"",LEFT(BK145,1)&lt;&gt;"#"),IF(LEFT(BK145,1)="-",REPLACE(BK145,1,1,tech!$H$2),BK145),"")</f>
        <v/>
      </c>
      <c r="BP145" t="s">
        <v>495</v>
      </c>
      <c r="BQ145" s="492"/>
      <c r="BR145" t="str">
        <f t="shared" si="185"/>
        <v>Critical events are immediately alerted and resolved according to incident response plans</v>
      </c>
      <c r="BS145" t="str">
        <f t="shared" si="202"/>
        <v>References</v>
      </c>
      <c r="BT145" t="str">
        <f t="shared" si="217"/>
        <v>3.3.5.RX</v>
      </c>
      <c r="BU145" t="str">
        <f>IF(AND(BQ145&lt;&gt;"",LEFT(BQ145,1)&lt;&gt;"#"),IF(LEFT(BQ145,1)="-",REPLACE(BQ145,1,1,tech!$H$2),BQ145),"")</f>
        <v/>
      </c>
      <c r="BV145" t="s">
        <v>495</v>
      </c>
      <c r="BW145" s="492"/>
      <c r="BX145" t="str">
        <f t="shared" si="186"/>
        <v>Incidents and exceptions handling</v>
      </c>
      <c r="BY145" t="str">
        <f t="shared" si="203"/>
        <v>References</v>
      </c>
      <c r="BZ145" t="str">
        <f t="shared" si="218"/>
        <v>3.4.3.RX</v>
      </c>
      <c r="CA145" t="str">
        <f>IF(AND(BW145&lt;&gt;"",LEFT(BW145,1)&lt;&gt;"#"),IF(LEFT(BW145,1)="-",REPLACE(BW145,1,1,tech!$H$2),BW145),"")</f>
        <v/>
      </c>
      <c r="CB145" t="s">
        <v>495</v>
      </c>
      <c r="CC145" s="492"/>
      <c r="CD145" t="str">
        <f t="shared" si="187"/>
        <v>Resources are periodically reviewed</v>
      </c>
      <c r="CE145" t="str">
        <f t="shared" si="204"/>
        <v>References</v>
      </c>
      <c r="CF145" t="str">
        <f t="shared" si="219"/>
        <v>4.1.4.RX</v>
      </c>
      <c r="CG145" t="str">
        <f>IF(AND(CC145&lt;&gt;"",LEFT(CC145,1)&lt;&gt;"#"),IF(LEFT(CC145,1)="-",REPLACE(CC145,1,1,tech!$H$2),CC145),"")</f>
        <v/>
      </c>
      <c r="CH145" t="s">
        <v>495</v>
      </c>
      <c r="CI145" s="492"/>
      <c r="CJ145" t="str">
        <f t="shared" si="188"/>
        <v>Periodically review knowledge</v>
      </c>
      <c r="CK145" t="str">
        <f t="shared" si="205"/>
        <v>Guidance</v>
      </c>
      <c r="CL145" t="str">
        <f t="shared" si="220"/>
        <v>4.2.5.GY</v>
      </c>
      <c r="CM145" t="str">
        <f>IF(AND(CI145&lt;&gt;"",LEFT(CI145,1)&lt;&gt;"#"),IF(LEFT(CI145,1)="-",REPLACE(CI145,1,1,tech!$H$2),CI145),"")</f>
        <v/>
      </c>
      <c r="CN145" t="s">
        <v>495</v>
      </c>
      <c r="CO145" s="492"/>
      <c r="CP145" t="str">
        <f t="shared" si="189"/>
        <v>Timely communication of important information</v>
      </c>
      <c r="CQ145" t="str">
        <f t="shared" si="206"/>
        <v>References</v>
      </c>
      <c r="CR145" t="str">
        <f t="shared" si="221"/>
        <v>4.3.4.RX</v>
      </c>
      <c r="CS145" t="str">
        <f>IF(AND(CO145&lt;&gt;"",LEFT(CO145,1)&lt;&gt;"#"),IF(LEFT(CO145,1)="-",REPLACE(CO145,1,1,tech!$H$2),CO145),"")</f>
        <v/>
      </c>
      <c r="CT145" t="s">
        <v>495</v>
      </c>
    </row>
    <row r="146" spans="3:98" x14ac:dyDescent="0.25">
      <c r="C146" s="492"/>
      <c r="D146" t="str">
        <f t="shared" si="190"/>
        <v>Optimized</v>
      </c>
      <c r="E146" t="str">
        <f t="shared" si="191"/>
        <v>Associated risks</v>
      </c>
      <c r="F146" t="str">
        <f>_xlfn.CONCAT(VLOOKUP(D146,tech!$A$13:$B$17,2,0),LEFT(E146,1),IF(G146="","X","Y"))</f>
        <v>5AX</v>
      </c>
      <c r="G146" t="str">
        <f>IF(IF(LEFT(C146,1)="-",C146,"")="","",REPLACE(IF(LEFT(C146,1)="-",C146,""),1,1,tech!$H$2))</f>
        <v/>
      </c>
      <c r="H146" t="s">
        <v>495</v>
      </c>
      <c r="I146" s="492"/>
      <c r="J146" t="str">
        <f t="shared" si="175"/>
        <v>Architecture and design of the PKI</v>
      </c>
      <c r="K146" t="str">
        <f t="shared" si="192"/>
        <v>References</v>
      </c>
      <c r="L146" t="str">
        <f t="shared" si="207"/>
        <v>1.1.4.RX</v>
      </c>
      <c r="M146" t="str">
        <f>IF(AND(I146&lt;&gt;"",LEFT(I146,1)&lt;&gt;"#"),IF(LEFT(I146,1)="-",REPLACE(I146,1,1,tech!$H$2),I146),"")</f>
        <v/>
      </c>
      <c r="N146" t="s">
        <v>495</v>
      </c>
      <c r="O146" s="492" t="s">
        <v>503</v>
      </c>
      <c r="P146" t="str">
        <f t="shared" si="176"/>
        <v>Policies are periodically reviewed and updated</v>
      </c>
      <c r="Q146" t="str">
        <f t="shared" si="193"/>
        <v>References</v>
      </c>
      <c r="R146" t="str">
        <f t="shared" si="208"/>
        <v>1.2.5.RX</v>
      </c>
      <c r="S146" t="str">
        <f>IF(AND(O146&lt;&gt;"",LEFT(O146,1)&lt;&gt;"#"),IF(LEFT(O146,1)="-",REPLACE(O146,1,1,tech!$H$2),O146),"")</f>
        <v/>
      </c>
      <c r="T146" t="s">
        <v>495</v>
      </c>
      <c r="U146" s="492"/>
      <c r="V146" t="str">
        <f t="shared" si="177"/>
        <v>List of relevant laws, regulations, and standards, exist and is maintained</v>
      </c>
      <c r="W146" t="str">
        <f t="shared" si="194"/>
        <v>References</v>
      </c>
      <c r="X146" t="str">
        <f t="shared" si="209"/>
        <v>1.3.4.RX</v>
      </c>
      <c r="Y146" t="str">
        <f>IF(AND(U146&lt;&gt;"",LEFT(U146,1)&lt;&gt;"#"),IF(LEFT(U146,1)="-",REPLACE(U146,1,1,tech!$H$2),U146),"")</f>
        <v/>
      </c>
      <c r="Z146" t="s">
        <v>495</v>
      </c>
      <c r="AA146" s="492"/>
      <c r="AB146" t="str">
        <f t="shared" si="178"/>
        <v>Processes and procedures are reviewed and updated</v>
      </c>
      <c r="AC146" t="str">
        <f t="shared" si="195"/>
        <v>References</v>
      </c>
      <c r="AD146" t="str">
        <f t="shared" si="210"/>
        <v>1.4.5.RX</v>
      </c>
      <c r="AE146" t="str">
        <f>IF(AND(AA146&lt;&gt;"",LEFT(AA146,1)&lt;&gt;"#"),IF(LEFT(AA146,1)="-",REPLACE(AA146,1,1,tech!$H$2),AA146),"")</f>
        <v/>
      </c>
      <c r="AF146" t="s">
        <v>495</v>
      </c>
      <c r="AG146" s="492" t="s">
        <v>498</v>
      </c>
      <c r="AH146" t="str">
        <f t="shared" si="179"/>
        <v>Key management is periodically reviewed and updated</v>
      </c>
      <c r="AI146" t="str">
        <f t="shared" si="196"/>
        <v>Guidance</v>
      </c>
      <c r="AJ146" t="str">
        <f t="shared" si="211"/>
        <v>2.1.6.GX</v>
      </c>
      <c r="AK146" t="str">
        <f>IF(AND(AG146&lt;&gt;"",LEFT(AG146,1)&lt;&gt;"#"),IF(LEFT(AG146,1)="-",REPLACE(AG146,1,1,tech!$H$2),AG146),"")</f>
        <v/>
      </c>
      <c r="AL146" t="s">
        <v>495</v>
      </c>
      <c r="AM146" s="492" t="s">
        <v>856</v>
      </c>
      <c r="AN146" t="str">
        <f t="shared" si="180"/>
        <v>Inventory of issued certificates is documented</v>
      </c>
      <c r="AO146" t="str">
        <f t="shared" si="197"/>
        <v>References</v>
      </c>
      <c r="AP146" t="str">
        <f t="shared" si="212"/>
        <v>2.2.4.RY</v>
      </c>
      <c r="AQ146" t="str">
        <f>IF(AND(AM146&lt;&gt;"",LEFT(AM146,1)&lt;&gt;"#"),IF(LEFT(AM146,1)="-",REPLACE(AM146,1,1,tech!$H$2),AM146),"")</f>
        <v xml:space="preserve">  Certificate Policy and Certification Practices Framework - Certificate Life-Cycle Operational Requirements](https://datatracker.ietf.org/doc/html/rfc3647/#section-4.4)</v>
      </c>
      <c r="AR146" t="s">
        <v>495</v>
      </c>
      <c r="AS146" s="492" t="s">
        <v>952</v>
      </c>
      <c r="AT146" t="str">
        <f t="shared" si="181"/>
        <v>Infrastructure activities are periodically reviewed</v>
      </c>
      <c r="AU146" t="str">
        <f t="shared" si="198"/>
        <v>Assessment</v>
      </c>
      <c r="AV146" t="str">
        <f t="shared" si="213"/>
        <v>2.3.5.AY</v>
      </c>
      <c r="AW146" t="str">
        <f>IF(AND(AS146&lt;&gt;"",LEFT(AS146,1)&lt;&gt;"#"),IF(LEFT(AS146,1)="-",REPLACE(AS146,1,1,tech!$H$2),AS146),"")</f>
        <v>• infrastructure management activities Review frequency</v>
      </c>
      <c r="AX146" t="s">
        <v>495</v>
      </c>
      <c r="AY146" s="492"/>
      <c r="AZ146" t="str">
        <f t="shared" si="182"/>
        <v>Change management and agility is periodically reviewed</v>
      </c>
      <c r="BA146" t="str">
        <f t="shared" si="199"/>
        <v>References</v>
      </c>
      <c r="BB146" t="str">
        <f t="shared" si="214"/>
        <v>2.4.5.RX</v>
      </c>
      <c r="BC146" t="str">
        <f>IF(AND(AY146&lt;&gt;"",LEFT(AY146,1)&lt;&gt;"#"),IF(LEFT(AY146,1)="-",REPLACE(AY146,1,1,tech!$H$2),AY146),"")</f>
        <v/>
      </c>
      <c r="BD146" t="s">
        <v>495</v>
      </c>
      <c r="BE146" s="492" t="s">
        <v>1084</v>
      </c>
      <c r="BF146" t="str">
        <f t="shared" si="183"/>
        <v>Competence and information sharing</v>
      </c>
      <c r="BG146" t="str">
        <f t="shared" si="200"/>
        <v>Assessment</v>
      </c>
      <c r="BH146" t="str">
        <f t="shared" si="215"/>
        <v>3.1.5.AY</v>
      </c>
      <c r="BI146" t="str">
        <f>IF(AND(BE146&lt;&gt;"",LEFT(BE146,1)&lt;&gt;"#"),IF(LEFT(BE146,1)="-",REPLACE(BE146,1,1,tech!$H$2),BE146),"")</f>
        <v>• Onboarding and offboarding procedures</v>
      </c>
      <c r="BJ146" t="s">
        <v>495</v>
      </c>
      <c r="BK146" s="492"/>
      <c r="BL146" t="str">
        <f t="shared" si="184"/>
        <v>Adoption and application of open standards</v>
      </c>
      <c r="BM146" t="str">
        <f t="shared" si="201"/>
        <v>References</v>
      </c>
      <c r="BN146" t="str">
        <f t="shared" si="216"/>
        <v>3.2.3.RX</v>
      </c>
      <c r="BO146" t="str">
        <f>IF(AND(BK146&lt;&gt;"",LEFT(BK146,1)&lt;&gt;"#"),IF(LEFT(BK146,1)="-",REPLACE(BK146,1,1,tech!$H$2),BK146),"")</f>
        <v/>
      </c>
      <c r="BP146" t="s">
        <v>495</v>
      </c>
      <c r="BQ146" s="492" t="s">
        <v>504</v>
      </c>
      <c r="BR146" t="str">
        <f t="shared" si="185"/>
        <v>Critical events are immediately alerted and resolved according to incident response plans</v>
      </c>
      <c r="BS146" t="str">
        <f t="shared" si="202"/>
        <v>References</v>
      </c>
      <c r="BT146" t="str">
        <f t="shared" si="217"/>
        <v>3.3.5.RY</v>
      </c>
      <c r="BU146" t="str">
        <f>IF(AND(BQ146&lt;&gt;"",LEFT(BQ146,1)&lt;&gt;"#"),IF(LEFT(BQ146,1)="-",REPLACE(BQ146,1,1,tech!$H$2),BQ146),"")</f>
        <v>• [ISO/IEC 27001 - Information security management systems](https://www.iso.org/standard/54534.html)</v>
      </c>
      <c r="BV146" t="s">
        <v>495</v>
      </c>
      <c r="BW146" s="492"/>
      <c r="BX146" t="str">
        <f t="shared" si="186"/>
        <v>Incidents and exceptions handling</v>
      </c>
      <c r="BY146" t="str">
        <f t="shared" si="203"/>
        <v>References</v>
      </c>
      <c r="BZ146" t="str">
        <f t="shared" si="218"/>
        <v>3.4.3.RX</v>
      </c>
      <c r="CA146" t="str">
        <f>IF(AND(BW146&lt;&gt;"",LEFT(BW146,1)&lt;&gt;"#"),IF(LEFT(BW146,1)="-",REPLACE(BW146,1,1,tech!$H$2),BW146),"")</f>
        <v/>
      </c>
      <c r="CB146" t="s">
        <v>495</v>
      </c>
      <c r="CC146" s="492"/>
      <c r="CD146" t="str">
        <f t="shared" si="187"/>
        <v>Resources are periodically reviewed</v>
      </c>
      <c r="CE146" t="str">
        <f t="shared" si="204"/>
        <v>References</v>
      </c>
      <c r="CF146" t="str">
        <f t="shared" si="219"/>
        <v>4.1.4.RX</v>
      </c>
      <c r="CG146" t="str">
        <f>IF(AND(CC146&lt;&gt;"",LEFT(CC146,1)&lt;&gt;"#"),IF(LEFT(CC146,1)="-",REPLACE(CC146,1,1,tech!$H$2),CC146),"")</f>
        <v/>
      </c>
      <c r="CH146" t="s">
        <v>495</v>
      </c>
      <c r="CI146" s="492" t="s">
        <v>1317</v>
      </c>
      <c r="CJ146" t="str">
        <f t="shared" si="188"/>
        <v>Periodically review knowledge</v>
      </c>
      <c r="CK146" t="str">
        <f t="shared" si="205"/>
        <v>Guidance</v>
      </c>
      <c r="CL146" t="str">
        <f t="shared" si="220"/>
        <v>4.2.5.GY</v>
      </c>
      <c r="CM146" t="str">
        <f>IF(AND(CI146&lt;&gt;"",LEFT(CI146,1)&lt;&gt;"#"),IF(LEFT(CI146,1)="-",REPLACE(CI146,1,1,tech!$H$2),CI146),"")</f>
        <v>Periodical review of the training plans helps to maintain required skills and knowledge for the responsible personnel.</v>
      </c>
      <c r="CN146" t="s">
        <v>495</v>
      </c>
      <c r="CO146" s="492"/>
      <c r="CP146" t="str">
        <f t="shared" si="189"/>
        <v>Timely communication of important information</v>
      </c>
      <c r="CQ146" t="str">
        <f t="shared" si="206"/>
        <v>References</v>
      </c>
      <c r="CR146" t="str">
        <f t="shared" si="221"/>
        <v>4.3.4.RX</v>
      </c>
      <c r="CS146" t="str">
        <f>IF(AND(CO146&lt;&gt;"",LEFT(CO146,1)&lt;&gt;"#"),IF(LEFT(CO146,1)="-",REPLACE(CO146,1,1,tech!$H$2),CO146),"")</f>
        <v/>
      </c>
      <c r="CT146" t="s">
        <v>495</v>
      </c>
    </row>
    <row r="147" spans="3:98" x14ac:dyDescent="0.25">
      <c r="C147" s="492"/>
      <c r="D147" t="str">
        <f t="shared" si="190"/>
        <v>Optimized</v>
      </c>
      <c r="E147" t="str">
        <f t="shared" si="191"/>
        <v>Associated risks</v>
      </c>
      <c r="F147" t="str">
        <f>_xlfn.CONCAT(VLOOKUP(D147,tech!$A$13:$B$17,2,0),LEFT(E147,1),IF(G147="","X","Y"))</f>
        <v>5AX</v>
      </c>
      <c r="G147" t="str">
        <f>IF(IF(LEFT(C147,1)="-",C147,"")="","",REPLACE(IF(LEFT(C147,1)="-",C147,""),1,1,tech!$H$2))</f>
        <v/>
      </c>
      <c r="H147" t="s">
        <v>495</v>
      </c>
      <c r="I147" s="492"/>
      <c r="J147" t="str">
        <f t="shared" si="175"/>
        <v>Architecture and design of the PKI</v>
      </c>
      <c r="K147" t="str">
        <f t="shared" si="192"/>
        <v>References</v>
      </c>
      <c r="L147" t="str">
        <f t="shared" si="207"/>
        <v>1.1.4.RX</v>
      </c>
      <c r="M147" t="str">
        <f>IF(AND(I147&lt;&gt;"",LEFT(I147,1)&lt;&gt;"#"),IF(LEFT(I147,1)="-",REPLACE(I147,1,1,tech!$H$2),I147),"")</f>
        <v/>
      </c>
      <c r="N147" t="s">
        <v>495</v>
      </c>
      <c r="O147" s="492"/>
      <c r="P147" t="str">
        <f t="shared" si="176"/>
        <v>Policies are periodically reviewed and updated</v>
      </c>
      <c r="Q147" t="str">
        <f t="shared" si="193"/>
        <v>References</v>
      </c>
      <c r="R147" t="str">
        <f t="shared" si="208"/>
        <v>1.2.5.RX</v>
      </c>
      <c r="S147" t="str">
        <f>IF(AND(O147&lt;&gt;"",LEFT(O147,1)&lt;&gt;"#"),IF(LEFT(O147,1)="-",REPLACE(O147,1,1,tech!$H$2),O147),"")</f>
        <v/>
      </c>
      <c r="T147" t="s">
        <v>495</v>
      </c>
      <c r="U147" s="492"/>
      <c r="V147" t="str">
        <f t="shared" si="177"/>
        <v>List of relevant laws, regulations, and standards, exist and is maintained</v>
      </c>
      <c r="W147" t="str">
        <f t="shared" si="194"/>
        <v>References</v>
      </c>
      <c r="X147" t="str">
        <f t="shared" si="209"/>
        <v>1.3.4.RX</v>
      </c>
      <c r="Y147" t="str">
        <f>IF(AND(U147&lt;&gt;"",LEFT(U147,1)&lt;&gt;"#"),IF(LEFT(U147,1)="-",REPLACE(U147,1,1,tech!$H$2),U147),"")</f>
        <v/>
      </c>
      <c r="Z147" t="s">
        <v>495</v>
      </c>
      <c r="AA147" s="492"/>
      <c r="AB147" t="str">
        <f t="shared" si="178"/>
        <v>Processes and procedures are reviewed and updated</v>
      </c>
      <c r="AC147" t="str">
        <f t="shared" si="195"/>
        <v>References</v>
      </c>
      <c r="AD147" t="str">
        <f t="shared" si="210"/>
        <v>1.4.5.RX</v>
      </c>
      <c r="AE147" t="str">
        <f>IF(AND(AA147&lt;&gt;"",LEFT(AA147,1)&lt;&gt;"#"),IF(LEFT(AA147,1)="-",REPLACE(AA147,1,1,tech!$H$2),AA147),"")</f>
        <v/>
      </c>
      <c r="AF147" t="s">
        <v>495</v>
      </c>
      <c r="AG147" s="492"/>
      <c r="AH147" t="str">
        <f t="shared" si="179"/>
        <v>Key management is periodically reviewed and updated</v>
      </c>
      <c r="AI147" t="str">
        <f t="shared" si="196"/>
        <v>Guidance</v>
      </c>
      <c r="AJ147" t="str">
        <f t="shared" si="211"/>
        <v>2.1.6.GX</v>
      </c>
      <c r="AK147" t="str">
        <f>IF(AND(AG147&lt;&gt;"",LEFT(AG147,1)&lt;&gt;"#"),IF(LEFT(AG147,1)="-",REPLACE(AG147,1,1,tech!$H$2),AG147),"")</f>
        <v/>
      </c>
      <c r="AL147" t="s">
        <v>495</v>
      </c>
      <c r="AM147" s="492" t="s">
        <v>857</v>
      </c>
      <c r="AN147" t="str">
        <f t="shared" si="180"/>
        <v>Inventory of issued certificates is documented</v>
      </c>
      <c r="AO147" t="str">
        <f t="shared" si="197"/>
        <v>References</v>
      </c>
      <c r="AP147" t="str">
        <f t="shared" si="212"/>
        <v>2.2.4.RY</v>
      </c>
      <c r="AQ147" t="str">
        <f>IF(AND(AM147&lt;&gt;"",LEFT(AM147,1)&lt;&gt;"#"),IF(LEFT(AM147,1)="-",REPLACE(AM147,1,1,tech!$H$2),AM147),"")</f>
        <v>* [NIST SP 800-57 Part 1 Rev. 5 - certificate inventory management](https://nvlpubs.nist.gov/nistpubs/SpecialPublications/NIST.SP.800-57pt1r5.pdf)</v>
      </c>
      <c r="AR147" t="s">
        <v>495</v>
      </c>
      <c r="AS147" s="492" t="s">
        <v>953</v>
      </c>
      <c r="AT147" t="str">
        <f t="shared" si="181"/>
        <v>Infrastructure activities are periodically reviewed</v>
      </c>
      <c r="AU147" t="str">
        <f t="shared" si="198"/>
        <v>Assessment</v>
      </c>
      <c r="AV147" t="str">
        <f t="shared" si="213"/>
        <v>2.3.5.AY</v>
      </c>
      <c r="AW147" t="str">
        <f>IF(AND(AS147&lt;&gt;"",LEFT(AS147,1)&lt;&gt;"#"),IF(LEFT(AS147,1)="-",REPLACE(AS147,1,1,tech!$H$2),AS147),"")</f>
        <v>• Organizational implementation of Review process</v>
      </c>
      <c r="AX147" t="s">
        <v>495</v>
      </c>
      <c r="AY147" s="492"/>
      <c r="AZ147" t="str">
        <f t="shared" si="182"/>
        <v>Change management and agility is periodically reviewed</v>
      </c>
      <c r="BA147" t="str">
        <f t="shared" si="199"/>
        <v>References</v>
      </c>
      <c r="BB147" t="str">
        <f t="shared" si="214"/>
        <v>2.4.5.RX</v>
      </c>
      <c r="BC147" t="str">
        <f>IF(AND(AY147&lt;&gt;"",LEFT(AY147,1)&lt;&gt;"#"),IF(LEFT(AY147,1)="-",REPLACE(AY147,1,1,tech!$H$2),AY147),"")</f>
        <v/>
      </c>
      <c r="BD147" t="s">
        <v>495</v>
      </c>
      <c r="BE147" s="492" t="s">
        <v>1085</v>
      </c>
      <c r="BF147" t="str">
        <f t="shared" si="183"/>
        <v>Competence and information sharing</v>
      </c>
      <c r="BG147" t="str">
        <f t="shared" si="200"/>
        <v>Assessment</v>
      </c>
      <c r="BH147" t="str">
        <f t="shared" si="215"/>
        <v>3.1.5.AY</v>
      </c>
      <c r="BI147" t="str">
        <f>IF(AND(BE147&lt;&gt;"",LEFT(BE147,1)&lt;&gt;"#"),IF(LEFT(BE147,1)="-",REPLACE(BE147,1,1,tech!$H$2),BE147),"")</f>
        <v>• Building competence and knowledge sharing</v>
      </c>
      <c r="BJ147" t="s">
        <v>495</v>
      </c>
      <c r="BK147" s="492"/>
      <c r="BL147" t="str">
        <f t="shared" si="184"/>
        <v>Adoption and application of open standards</v>
      </c>
      <c r="BM147" t="str">
        <f t="shared" si="201"/>
        <v>References</v>
      </c>
      <c r="BN147" t="str">
        <f t="shared" si="216"/>
        <v>3.2.3.RX</v>
      </c>
      <c r="BO147" t="str">
        <f>IF(AND(BK147&lt;&gt;"",LEFT(BK147,1)&lt;&gt;"#"),IF(LEFT(BK147,1)="-",REPLACE(BK147,1,1,tech!$H$2),BK147),"")</f>
        <v/>
      </c>
      <c r="BP147" t="s">
        <v>495</v>
      </c>
      <c r="BQ147" s="492" t="s">
        <v>896</v>
      </c>
      <c r="BR147" t="str">
        <f t="shared" si="185"/>
        <v>Critical events are immediately alerted and resolved according to incident response plans</v>
      </c>
      <c r="BS147" t="str">
        <f t="shared" si="202"/>
        <v>References</v>
      </c>
      <c r="BT147" t="str">
        <f t="shared" si="217"/>
        <v>3.3.5.RY</v>
      </c>
      <c r="BU147" t="str">
        <f>IF(AND(BQ147&lt;&gt;"",LEFT(BQ147,1)&lt;&gt;"#"),IF(LEFT(BQ147,1)="-",REPLACE(BQ147,1,1,tech!$H$2),BQ147),"")</f>
        <v>• [ISO/IEC 20000 and related standards](https://www.iso.org/standard/70636.html)</v>
      </c>
      <c r="BV147" t="s">
        <v>495</v>
      </c>
      <c r="BW147" s="492"/>
      <c r="BX147" t="str">
        <f t="shared" si="186"/>
        <v>Incidents and exceptions handling</v>
      </c>
      <c r="BY147" t="str">
        <f t="shared" si="203"/>
        <v>References</v>
      </c>
      <c r="BZ147" t="str">
        <f t="shared" si="218"/>
        <v>3.4.3.RX</v>
      </c>
      <c r="CA147" t="str">
        <f>IF(AND(BW147&lt;&gt;"",LEFT(BW147,1)&lt;&gt;"#"),IF(LEFT(BW147,1)="-",REPLACE(BW147,1,1,tech!$H$2),BW147),"")</f>
        <v/>
      </c>
      <c r="CB147" t="s">
        <v>495</v>
      </c>
      <c r="CC147" s="492"/>
      <c r="CD147" t="str">
        <f t="shared" si="187"/>
        <v>Resources are periodically reviewed</v>
      </c>
      <c r="CE147" t="str">
        <f t="shared" si="204"/>
        <v>References</v>
      </c>
      <c r="CF147" t="str">
        <f t="shared" si="219"/>
        <v>4.1.4.RX</v>
      </c>
      <c r="CG147" t="str">
        <f>IF(AND(CC147&lt;&gt;"",LEFT(CC147,1)&lt;&gt;"#"),IF(LEFT(CC147,1)="-",REPLACE(CC147,1,1,tech!$H$2),CC147),"")</f>
        <v/>
      </c>
      <c r="CH147" t="s">
        <v>495</v>
      </c>
      <c r="CI147" s="492" t="s">
        <v>733</v>
      </c>
      <c r="CJ147" t="str">
        <f t="shared" si="188"/>
        <v>Periodically review knowledge</v>
      </c>
      <c r="CK147" t="str">
        <f t="shared" si="205"/>
        <v>Guidance</v>
      </c>
      <c r="CL147" t="str">
        <f t="shared" si="220"/>
        <v>4.2.5.GY</v>
      </c>
      <c r="CM147" t="str">
        <f>IF(AND(CI147&lt;&gt;"",LEFT(CI147,1)&lt;&gt;"#"),IF(LEFT(CI147,1)="-",REPLACE(CI147,1,1,tech!$H$2),CI147),"")</f>
        <v>It provides assurance that the expected controls are active and working as intended.</v>
      </c>
      <c r="CN147" t="s">
        <v>495</v>
      </c>
      <c r="CO147" s="492"/>
      <c r="CP147" t="str">
        <f t="shared" si="189"/>
        <v>Timely communication of important information</v>
      </c>
      <c r="CQ147" t="str">
        <f t="shared" si="206"/>
        <v>References</v>
      </c>
      <c r="CR147" t="str">
        <f t="shared" si="221"/>
        <v>4.3.4.RX</v>
      </c>
      <c r="CS147" t="str">
        <f>IF(AND(CO147&lt;&gt;"",LEFT(CO147,1)&lt;&gt;"#"),IF(LEFT(CO147,1)="-",REPLACE(CO147,1,1,tech!$H$2),CO147),"")</f>
        <v/>
      </c>
      <c r="CT147" t="s">
        <v>495</v>
      </c>
    </row>
    <row r="148" spans="3:98" ht="15.75" thickBot="1" x14ac:dyDescent="0.3">
      <c r="C148" s="213"/>
      <c r="D148" t="str">
        <f t="shared" si="190"/>
        <v>Optimized</v>
      </c>
      <c r="E148" t="str">
        <f t="shared" si="191"/>
        <v>Associated risks</v>
      </c>
      <c r="F148" t="str">
        <f>_xlfn.CONCAT(VLOOKUP(D148,tech!$A$13:$B$17,2,0),LEFT(E148,1),IF(G148="","X","Y"))</f>
        <v>5AX</v>
      </c>
      <c r="G148" t="str">
        <f>IF(IF(LEFT(C148,1)="-",C148,"")="","",REPLACE(IF(LEFT(C148,1)="-",C148,""),1,1,tech!$H$2))</f>
        <v/>
      </c>
      <c r="H148" t="s">
        <v>495</v>
      </c>
      <c r="I148" s="213"/>
      <c r="J148" t="str">
        <f t="shared" si="175"/>
        <v>Architecture and design of the PKI</v>
      </c>
      <c r="K148" t="str">
        <f t="shared" si="192"/>
        <v>References</v>
      </c>
      <c r="L148" t="str">
        <f t="shared" si="207"/>
        <v>1.1.4.RX</v>
      </c>
      <c r="M148" t="str">
        <f>IF(AND(I148&lt;&gt;"",LEFT(I148,1)&lt;&gt;"#"),IF(LEFT(I148,1)="-",REPLACE(I148,1,1,tech!$H$2),I148),"")</f>
        <v/>
      </c>
      <c r="N148" t="s">
        <v>495</v>
      </c>
      <c r="O148" s="492" t="s">
        <v>551</v>
      </c>
      <c r="P148" t="str">
        <f t="shared" si="176"/>
        <v>Policies are periodically reviewed and updated</v>
      </c>
      <c r="Q148" t="str">
        <f t="shared" si="193"/>
        <v>References</v>
      </c>
      <c r="R148" t="str">
        <f t="shared" si="208"/>
        <v>1.2.5.RY</v>
      </c>
      <c r="S148" t="str">
        <f>IF(AND(O148&lt;&gt;"",LEFT(O148,1)&lt;&gt;"#"),IF(LEFT(O148,1)="-",REPLACE(O148,1,1,tech!$H$2),O148),"")</f>
        <v>• [RFC 3647 - Internet X.509 Public Key Infrastructure Certificate Policy and Certification Practices Framework](https://tools.ietf.org/html/rfc3647)</v>
      </c>
      <c r="T148" t="s">
        <v>495</v>
      </c>
      <c r="U148" s="492"/>
      <c r="V148" t="str">
        <f t="shared" si="177"/>
        <v>List of relevant laws, regulations, and standards, exist and is maintained</v>
      </c>
      <c r="W148" t="str">
        <f t="shared" si="194"/>
        <v>References</v>
      </c>
      <c r="X148" t="str">
        <f t="shared" si="209"/>
        <v>1.3.4.RX</v>
      </c>
      <c r="Y148" t="str">
        <f>IF(AND(U148&lt;&gt;"",LEFT(U148,1)&lt;&gt;"#"),IF(LEFT(U148,1)="-",REPLACE(U148,1,1,tech!$H$2),U148),"")</f>
        <v/>
      </c>
      <c r="Z148" t="s">
        <v>495</v>
      </c>
      <c r="AA148" s="492"/>
      <c r="AB148" t="str">
        <f t="shared" si="178"/>
        <v>Processes and procedures are reviewed and updated</v>
      </c>
      <c r="AC148" t="str">
        <f t="shared" si="195"/>
        <v>References</v>
      </c>
      <c r="AD148" t="str">
        <f t="shared" si="210"/>
        <v>1.4.5.RX</v>
      </c>
      <c r="AE148" t="str">
        <f>IF(AND(AA148&lt;&gt;"",LEFT(AA148,1)&lt;&gt;"#"),IF(LEFT(AA148,1)="-",REPLACE(AA148,1,1,tech!$H$2),AA148),"")</f>
        <v/>
      </c>
      <c r="AF148" t="s">
        <v>495</v>
      </c>
      <c r="AG148" s="492" t="s">
        <v>731</v>
      </c>
      <c r="AH148" t="str">
        <f t="shared" si="179"/>
        <v>Key management is periodically reviewed and updated</v>
      </c>
      <c r="AI148" t="str">
        <f t="shared" si="196"/>
        <v>Guidance</v>
      </c>
      <c r="AJ148" t="str">
        <f t="shared" si="211"/>
        <v>2.1.6.GY</v>
      </c>
      <c r="AK148" t="str">
        <f>IF(AND(AG148&lt;&gt;"",LEFT(AG148,1)&lt;&gt;"#"),IF(LEFT(AG148,1)="-",REPLACE(AG148,1,1,tech!$H$2),AG148),"")</f>
        <v>Key management policy, processes and procedures related to cryptographic keys, inventory and lifecycle should be periodically reviewed, updated and approved. The frequency of review should be based on the organizational risks and needs to be protected against current and future trends.</v>
      </c>
      <c r="AL148" t="s">
        <v>495</v>
      </c>
      <c r="AM148" s="492"/>
      <c r="AN148" t="str">
        <f t="shared" si="180"/>
        <v>Inventory of issued certificates is documented</v>
      </c>
      <c r="AO148" t="str">
        <f t="shared" si="197"/>
        <v>References</v>
      </c>
      <c r="AP148" t="str">
        <f t="shared" si="212"/>
        <v>2.2.4.RX</v>
      </c>
      <c r="AQ148" t="str">
        <f>IF(AND(AM148&lt;&gt;"",LEFT(AM148,1)&lt;&gt;"#"),IF(LEFT(AM148,1)="-",REPLACE(AM148,1,1,tech!$H$2),AM148),"")</f>
        <v/>
      </c>
      <c r="AR148" t="s">
        <v>495</v>
      </c>
      <c r="AS148" s="492" t="s">
        <v>914</v>
      </c>
      <c r="AT148" t="str">
        <f t="shared" si="181"/>
        <v>Infrastructure activities are periodically reviewed</v>
      </c>
      <c r="AU148" t="str">
        <f t="shared" si="198"/>
        <v>Assessment</v>
      </c>
      <c r="AV148" t="str">
        <f t="shared" si="213"/>
        <v>2.3.5.AY</v>
      </c>
      <c r="AW148" t="str">
        <f>IF(AND(AS148&lt;&gt;"",LEFT(AS148,1)&lt;&gt;"#"),IF(LEFT(AS148,1)="-",REPLACE(AS148,1,1,tech!$H$2),AS148),"")</f>
        <v>• Validation of documentation, reports, records, and reviews</v>
      </c>
      <c r="AX148" t="s">
        <v>495</v>
      </c>
      <c r="AY148" s="492"/>
      <c r="AZ148" t="str">
        <f t="shared" si="182"/>
        <v>Change management and agility is periodically reviewed</v>
      </c>
      <c r="BA148" t="str">
        <f t="shared" si="199"/>
        <v>References</v>
      </c>
      <c r="BB148" t="str">
        <f t="shared" si="214"/>
        <v>2.4.5.RX</v>
      </c>
      <c r="BC148" t="str">
        <f>IF(AND(AY148&lt;&gt;"",LEFT(AY148,1)&lt;&gt;"#"),IF(LEFT(AY148,1)="-",REPLACE(AY148,1,1,tech!$H$2),AY148),"")</f>
        <v/>
      </c>
      <c r="BD148" t="s">
        <v>495</v>
      </c>
      <c r="BE148" s="492"/>
      <c r="BF148" t="str">
        <f t="shared" si="183"/>
        <v>Competence and information sharing</v>
      </c>
      <c r="BG148" t="str">
        <f t="shared" si="200"/>
        <v>Assessment</v>
      </c>
      <c r="BH148" t="str">
        <f t="shared" si="215"/>
        <v>3.1.5.AX</v>
      </c>
      <c r="BI148" t="str">
        <f>IF(AND(BE148&lt;&gt;"",LEFT(BE148,1)&lt;&gt;"#"),IF(LEFT(BE148,1)="-",REPLACE(BE148,1,1,tech!$H$2),BE148),"")</f>
        <v/>
      </c>
      <c r="BJ148" t="s">
        <v>495</v>
      </c>
      <c r="BK148" s="492"/>
      <c r="BL148" t="str">
        <f t="shared" si="184"/>
        <v>Adoption and application of open standards</v>
      </c>
      <c r="BM148" t="str">
        <f t="shared" si="201"/>
        <v>References</v>
      </c>
      <c r="BN148" t="str">
        <f t="shared" si="216"/>
        <v>3.2.3.RX</v>
      </c>
      <c r="BO148" t="str">
        <f>IF(AND(BK148&lt;&gt;"",LEFT(BK148,1)&lt;&gt;"#"),IF(LEFT(BK148,1)="-",REPLACE(BK148,1,1,tech!$H$2),BK148),"")</f>
        <v/>
      </c>
      <c r="BP148" t="s">
        <v>495</v>
      </c>
      <c r="BQ148" s="492" t="s">
        <v>1146</v>
      </c>
      <c r="BR148" t="str">
        <f t="shared" si="185"/>
        <v>Critical events are immediately alerted and resolved according to incident response plans</v>
      </c>
      <c r="BS148" t="str">
        <f t="shared" si="202"/>
        <v>References</v>
      </c>
      <c r="BT148" t="str">
        <f t="shared" si="217"/>
        <v>3.3.5.RY</v>
      </c>
      <c r="BU148" t="str">
        <f>IF(AND(BQ148&lt;&gt;"",LEFT(BQ148,1)&lt;&gt;"#"),IF(LEFT(BQ148,1)="-",REPLACE(BQ148,1,1,tech!$H$2),BQ148),"")</f>
        <v>• [ISO/IEC 27099 - Public key infrastructure](https://www.iso.org/standard/56590.html)</v>
      </c>
      <c r="BV148" t="s">
        <v>495</v>
      </c>
      <c r="BW148" s="492"/>
      <c r="BX148" t="str">
        <f t="shared" si="186"/>
        <v>Incidents and exceptions handling</v>
      </c>
      <c r="BY148" t="str">
        <f t="shared" si="203"/>
        <v>References</v>
      </c>
      <c r="BZ148" t="str">
        <f t="shared" si="218"/>
        <v>3.4.3.RX</v>
      </c>
      <c r="CA148" t="str">
        <f>IF(AND(BW148&lt;&gt;"",LEFT(BW148,1)&lt;&gt;"#"),IF(LEFT(BW148,1)="-",REPLACE(BW148,1,1,tech!$H$2),BW148),"")</f>
        <v/>
      </c>
      <c r="CB148" t="s">
        <v>495</v>
      </c>
      <c r="CC148" s="492"/>
      <c r="CD148" t="str">
        <f t="shared" si="187"/>
        <v>Resources are periodically reviewed</v>
      </c>
      <c r="CE148" t="str">
        <f t="shared" si="204"/>
        <v>References</v>
      </c>
      <c r="CF148" t="str">
        <f t="shared" si="219"/>
        <v>4.1.4.RX</v>
      </c>
      <c r="CG148" t="str">
        <f>IF(AND(CC148&lt;&gt;"",LEFT(CC148,1)&lt;&gt;"#"),IF(LEFT(CC148,1)="-",REPLACE(CC148,1,1,tech!$H$2),CC148),"")</f>
        <v/>
      </c>
      <c r="CH148" t="s">
        <v>495</v>
      </c>
      <c r="CI148" s="492"/>
      <c r="CJ148" t="str">
        <f t="shared" si="188"/>
        <v>Periodically review knowledge</v>
      </c>
      <c r="CK148" t="str">
        <f t="shared" si="205"/>
        <v>Guidance</v>
      </c>
      <c r="CL148" t="str">
        <f t="shared" si="220"/>
        <v>4.2.5.GX</v>
      </c>
      <c r="CM148" t="str">
        <f>IF(AND(CI148&lt;&gt;"",LEFT(CI148,1)&lt;&gt;"#"),IF(LEFT(CI148,1)="-",REPLACE(CI148,1,1,tech!$H$2),CI148),"")</f>
        <v/>
      </c>
      <c r="CN148" t="s">
        <v>495</v>
      </c>
      <c r="CO148" s="492"/>
      <c r="CP148" t="str">
        <f t="shared" si="189"/>
        <v>Timely communication of important information</v>
      </c>
      <c r="CQ148" t="str">
        <f t="shared" si="206"/>
        <v>References</v>
      </c>
      <c r="CR148" t="str">
        <f t="shared" si="221"/>
        <v>4.3.4.RX</v>
      </c>
      <c r="CS148" t="str">
        <f>IF(AND(CO148&lt;&gt;"",LEFT(CO148,1)&lt;&gt;"#"),IF(LEFT(CO148,1)="-",REPLACE(CO148,1,1,tech!$H$2),CO148),"")</f>
        <v/>
      </c>
      <c r="CT148" t="s">
        <v>495</v>
      </c>
    </row>
    <row r="149" spans="3:98" x14ac:dyDescent="0.25">
      <c r="O149" s="492" t="s">
        <v>504</v>
      </c>
      <c r="P149" t="str">
        <f t="shared" ref="P149:P200" si="222">IF(AND(LEFT(O149,1)="#",IFERROR(LEN(_xlfn.TEXTBEFORE(O149," "))=3,0)),_xlfn.TEXTAFTER(O149," "),P148)</f>
        <v>Policies are periodically reviewed and updated</v>
      </c>
      <c r="Q149" t="str">
        <f t="shared" ref="Q149:Q200" si="223">IF(AND(LEFT(O149,1)="#",IFERROR(LEN(_xlfn.TEXTBEFORE(O149," "))=4,0)),_xlfn.TEXTAFTER(O149," "),Q148)</f>
        <v>References</v>
      </c>
      <c r="R149" t="str">
        <f t="shared" ref="R149:R200" si="224">_xlfn.CONCAT(IFERROR(VLOOKUP(P149,$R$4:$S$13,2,0),""),LEFT(Q149,1),IF(S149="",IF(AND(S148&lt;&gt;"",S150&lt;&gt;""),"Y","X"),"Y"))</f>
        <v>1.2.5.RY</v>
      </c>
      <c r="S149" t="str">
        <f>IF(AND(O149&lt;&gt;"",LEFT(O149,1)&lt;&gt;"#"),IF(LEFT(O149,1)="-",REPLACE(O149,1,1,tech!$H$2),O149),"")</f>
        <v>• [ISO/IEC 27001 - Information security management systems](https://www.iso.org/standard/54534.html)</v>
      </c>
      <c r="T149" t="s">
        <v>495</v>
      </c>
      <c r="U149" s="492"/>
      <c r="V149" t="str">
        <f t="shared" ref="V149:V200" si="225">IF(AND(LEFT(U149,1)="#",IFERROR(LEN(_xlfn.TEXTBEFORE(U149," "))=3,0)),_xlfn.TEXTAFTER(U149," "),V148)</f>
        <v>List of relevant laws, regulations, and standards, exist and is maintained</v>
      </c>
      <c r="W149" t="str">
        <f t="shared" ref="W149:W200" si="226">IF(AND(LEFT(U149,1)="#",IFERROR(LEN(_xlfn.TEXTBEFORE(U149," "))=4,0)),_xlfn.TEXTAFTER(U149," "),W148)</f>
        <v>References</v>
      </c>
      <c r="X149" t="str">
        <f t="shared" ref="X149:X200" si="227">_xlfn.CONCAT(IFERROR(VLOOKUP(V149,X$4:Y$13,2,0),""),LEFT(W149,1),IF(Y149="",IF(AND(Y148&lt;&gt;"",Y150&lt;&gt;""),"Y","X"),"Y"))</f>
        <v>1.3.4.RX</v>
      </c>
      <c r="Y149" t="str">
        <f>IF(AND(U149&lt;&gt;"",LEFT(U149,1)&lt;&gt;"#"),IF(LEFT(U149,1)="-",REPLACE(U149,1,1,tech!$H$2),U149),"")</f>
        <v/>
      </c>
      <c r="Z149" t="s">
        <v>495</v>
      </c>
      <c r="AA149" s="492"/>
      <c r="AB149" t="str">
        <f t="shared" ref="AB149:AB200" si="228">IF(AND(LEFT(AA149,1)="#",IFERROR(LEN(_xlfn.TEXTBEFORE(AA149," "))=3,0)),_xlfn.TEXTAFTER(AA149," "),AB148)</f>
        <v>Processes and procedures are reviewed and updated</v>
      </c>
      <c r="AC149" t="str">
        <f t="shared" ref="AC149:AC200" si="229">IF(AND(LEFT(AA149,1)="#",IFERROR(LEN(_xlfn.TEXTBEFORE(AA149," "))=4,0)),_xlfn.TEXTAFTER(AA149," "),AC148)</f>
        <v>References</v>
      </c>
      <c r="AD149" t="str">
        <f t="shared" ref="AD149:AD200" si="230">_xlfn.CONCAT(IFERROR(VLOOKUP(AB149,AD$4:AE$13,2,0),""),LEFT(AC149,1),IF(AE149="",IF(AND(AE148&lt;&gt;"",AE150&lt;&gt;""),"Y","X"),"Y"))</f>
        <v>1.4.5.RX</v>
      </c>
      <c r="AE149" t="str">
        <f>IF(AND(AA149&lt;&gt;"",LEFT(AA149,1)&lt;&gt;"#"),IF(LEFT(AA149,1)="-",REPLACE(AA149,1,1,tech!$H$2),AA149),"")</f>
        <v/>
      </c>
      <c r="AF149" t="s">
        <v>495</v>
      </c>
      <c r="AG149" s="492"/>
      <c r="AH149" t="str">
        <f t="shared" ref="AH149:AH200" si="231">IF(AND(LEFT(AG149,1)="#",IFERROR(LEN(_xlfn.TEXTBEFORE(AG149," "))=3,0)),_xlfn.TEXTAFTER(AG149," "),AH148)</f>
        <v>Key management is periodically reviewed and updated</v>
      </c>
      <c r="AI149" t="str">
        <f t="shared" ref="AI149:AI200" si="232">IF(AND(LEFT(AG149,1)="#",IFERROR(LEN(_xlfn.TEXTBEFORE(AG149," "))=4,0)),_xlfn.TEXTAFTER(AG149," "),AI148)</f>
        <v>Guidance</v>
      </c>
      <c r="AJ149" t="str">
        <f t="shared" ref="AJ149:AJ200" si="233">_xlfn.CONCAT(IFERROR(VLOOKUP(AH149,AJ$4:AK$13,2,0),""),LEFT(AI149,1),IF(AK149="",IF(AND(AK148&lt;&gt;"",AK150&lt;&gt;""),"Y","X"),"Y"))</f>
        <v>2.1.6.GY</v>
      </c>
      <c r="AK149" t="str">
        <f>IF(AND(AG149&lt;&gt;"",LEFT(AG149,1)&lt;&gt;"#"),IF(LEFT(AG149,1)="-",REPLACE(AG149,1,1,tech!$H$2),AG149),"")</f>
        <v/>
      </c>
      <c r="AL149" t="s">
        <v>495</v>
      </c>
      <c r="AM149" s="492" t="s">
        <v>858</v>
      </c>
      <c r="AN149" t="str">
        <f t="shared" si="180"/>
        <v>Certificate discovery process is documented</v>
      </c>
      <c r="AO149" t="str">
        <f t="shared" si="197"/>
        <v>References</v>
      </c>
      <c r="AP149" t="str">
        <f t="shared" si="212"/>
        <v>2.2.5.RX</v>
      </c>
      <c r="AQ149" t="str">
        <f>IF(AND(AM149&lt;&gt;"",LEFT(AM149,1)&lt;&gt;"#"),IF(LEFT(AM149,1)="-",REPLACE(AM149,1,1,tech!$H$2),AM149),"")</f>
        <v/>
      </c>
      <c r="AR149" t="s">
        <v>495</v>
      </c>
      <c r="AS149" s="492"/>
      <c r="AT149" t="str">
        <f t="shared" si="181"/>
        <v>Infrastructure activities are periodically reviewed</v>
      </c>
      <c r="AU149" t="str">
        <f t="shared" si="198"/>
        <v>Assessment</v>
      </c>
      <c r="AV149" t="str">
        <f t="shared" si="213"/>
        <v>2.3.5.AX</v>
      </c>
      <c r="AW149" t="str">
        <f>IF(AND(AS149&lt;&gt;"",LEFT(AS149,1)&lt;&gt;"#"),IF(LEFT(AS149,1)="-",REPLACE(AS149,1,1,tech!$H$2),AS149),"")</f>
        <v/>
      </c>
      <c r="AX149" t="s">
        <v>495</v>
      </c>
      <c r="AY149" s="492"/>
      <c r="AZ149" t="str">
        <f t="shared" si="182"/>
        <v>Change management and agility is periodically reviewed</v>
      </c>
      <c r="BA149" t="str">
        <f t="shared" si="199"/>
        <v>References</v>
      </c>
      <c r="BB149" t="str">
        <f t="shared" si="214"/>
        <v>2.4.5.RX</v>
      </c>
      <c r="BC149" t="str">
        <f>IF(AND(AY149&lt;&gt;"",LEFT(AY149,1)&lt;&gt;"#"),IF(LEFT(AY149,1)="-",REPLACE(AY149,1,1,tech!$H$2),AY149),"")</f>
        <v/>
      </c>
      <c r="BD149" t="s">
        <v>495</v>
      </c>
      <c r="BE149" s="492" t="s">
        <v>503</v>
      </c>
      <c r="BF149" t="str">
        <f t="shared" si="183"/>
        <v>Competence and information sharing</v>
      </c>
      <c r="BG149" t="str">
        <f t="shared" si="200"/>
        <v>References</v>
      </c>
      <c r="BH149" t="str">
        <f t="shared" si="215"/>
        <v>3.1.5.RX</v>
      </c>
      <c r="BI149" t="str">
        <f>IF(AND(BE149&lt;&gt;"",LEFT(BE149,1)&lt;&gt;"#"),IF(LEFT(BE149,1)="-",REPLACE(BE149,1,1,tech!$H$2),BE149),"")</f>
        <v/>
      </c>
      <c r="BJ149" t="s">
        <v>495</v>
      </c>
      <c r="BK149" s="492"/>
      <c r="BL149" t="str">
        <f t="shared" si="184"/>
        <v>Adoption and application of open standards</v>
      </c>
      <c r="BM149" t="str">
        <f t="shared" si="201"/>
        <v>References</v>
      </c>
      <c r="BN149" t="str">
        <f t="shared" si="216"/>
        <v>3.2.3.RX</v>
      </c>
      <c r="BO149" t="str">
        <f>IF(AND(BK149&lt;&gt;"",LEFT(BK149,1)&lt;&gt;"#"),IF(LEFT(BK149,1)="-",REPLACE(BK149,1,1,tech!$H$2),BK149),"")</f>
        <v/>
      </c>
      <c r="BP149" t="s">
        <v>495</v>
      </c>
      <c r="BQ149" s="492"/>
      <c r="BR149" t="str">
        <f t="shared" si="185"/>
        <v>Critical events are immediately alerted and resolved according to incident response plans</v>
      </c>
      <c r="BS149" t="str">
        <f t="shared" si="202"/>
        <v>References</v>
      </c>
      <c r="BT149" t="str">
        <f t="shared" si="217"/>
        <v>3.3.5.RX</v>
      </c>
      <c r="BU149" t="str">
        <f>IF(AND(BQ149&lt;&gt;"",LEFT(BQ149,1)&lt;&gt;"#"),IF(LEFT(BQ149,1)="-",REPLACE(BQ149,1,1,tech!$H$2),BQ149),"")</f>
        <v/>
      </c>
      <c r="BV149" t="s">
        <v>495</v>
      </c>
      <c r="BW149" s="492"/>
      <c r="BX149" t="str">
        <f t="shared" si="186"/>
        <v>Incidents and exceptions handling</v>
      </c>
      <c r="BY149" t="str">
        <f t="shared" si="203"/>
        <v>References</v>
      </c>
      <c r="BZ149" t="str">
        <f t="shared" si="218"/>
        <v>3.4.3.RX</v>
      </c>
      <c r="CA149" t="str">
        <f>IF(AND(BW149&lt;&gt;"",LEFT(BW149,1)&lt;&gt;"#"),IF(LEFT(BW149,1)="-",REPLACE(BW149,1,1,tech!$H$2),BW149),"")</f>
        <v/>
      </c>
      <c r="CB149" t="s">
        <v>495</v>
      </c>
      <c r="CC149" s="492"/>
      <c r="CD149" t="str">
        <f t="shared" si="187"/>
        <v>Resources are periodically reviewed</v>
      </c>
      <c r="CE149" t="str">
        <f t="shared" si="204"/>
        <v>References</v>
      </c>
      <c r="CF149" t="str">
        <f t="shared" si="219"/>
        <v>4.1.4.RX</v>
      </c>
      <c r="CG149" t="str">
        <f>IF(AND(CC149&lt;&gt;"",LEFT(CC149,1)&lt;&gt;"#"),IF(LEFT(CC149,1)="-",REPLACE(CC149,1,1,tech!$H$2),CC149),"")</f>
        <v/>
      </c>
      <c r="CH149" t="s">
        <v>495</v>
      </c>
      <c r="CI149" s="492" t="s">
        <v>501</v>
      </c>
      <c r="CJ149" t="str">
        <f t="shared" si="188"/>
        <v>Periodically review knowledge</v>
      </c>
      <c r="CK149" t="str">
        <f t="shared" si="205"/>
        <v>Assessment</v>
      </c>
      <c r="CL149" t="str">
        <f t="shared" si="220"/>
        <v>4.2.5.AX</v>
      </c>
      <c r="CM149" t="str">
        <f>IF(AND(CI149&lt;&gt;"",LEFT(CI149,1)&lt;&gt;"#"),IF(LEFT(CI149,1)="-",REPLACE(CI149,1,1,tech!$H$2),CI149),"")</f>
        <v/>
      </c>
      <c r="CN149" t="s">
        <v>495</v>
      </c>
      <c r="CO149" s="492"/>
      <c r="CP149" t="str">
        <f t="shared" si="189"/>
        <v>Timely communication of important information</v>
      </c>
      <c r="CQ149" t="str">
        <f t="shared" si="206"/>
        <v>References</v>
      </c>
      <c r="CR149" t="str">
        <f t="shared" si="221"/>
        <v>4.3.4.RX</v>
      </c>
      <c r="CS149" t="str">
        <f>IF(AND(CO149&lt;&gt;"",LEFT(CO149,1)&lt;&gt;"#"),IF(LEFT(CO149,1)="-",REPLACE(CO149,1,1,tech!$H$2),CO149),"")</f>
        <v/>
      </c>
      <c r="CT149" t="s">
        <v>495</v>
      </c>
    </row>
    <row r="150" spans="3:98" x14ac:dyDescent="0.25">
      <c r="O150" s="492" t="s">
        <v>519</v>
      </c>
      <c r="P150" t="str">
        <f t="shared" si="222"/>
        <v>Policies are periodically reviewed and updated</v>
      </c>
      <c r="Q150" t="str">
        <f t="shared" si="223"/>
        <v>References</v>
      </c>
      <c r="R150" t="str">
        <f t="shared" si="224"/>
        <v>1.2.5.RY</v>
      </c>
      <c r="S150" t="str">
        <f>IF(AND(O150&lt;&gt;"",LEFT(O150,1)&lt;&gt;"#"),IF(LEFT(O150,1)="-",REPLACE(O150,1,1,tech!$H$2),O150),"")</f>
        <v>• [ETSI EN 319 401 - General Policy Requirements for Trust Service Providers](https://www.etsi.org/deliver/etsi_en/319400_319499/319401/02.03.01_60/en_319401v020301p.pdf)</v>
      </c>
      <c r="T150" t="s">
        <v>495</v>
      </c>
      <c r="U150" s="492"/>
      <c r="V150" t="str">
        <f t="shared" si="225"/>
        <v>List of relevant laws, regulations, and standards, exist and is maintained</v>
      </c>
      <c r="W150" t="str">
        <f t="shared" si="226"/>
        <v>References</v>
      </c>
      <c r="X150" t="str">
        <f t="shared" si="227"/>
        <v>1.3.4.RX</v>
      </c>
      <c r="Y150" t="str">
        <f>IF(AND(U150&lt;&gt;"",LEFT(U150,1)&lt;&gt;"#"),IF(LEFT(U150,1)="-",REPLACE(U150,1,1,tech!$H$2),U150),"")</f>
        <v/>
      </c>
      <c r="Z150" t="s">
        <v>495</v>
      </c>
      <c r="AA150" s="492"/>
      <c r="AB150" t="str">
        <f t="shared" si="228"/>
        <v>Processes and procedures are reviewed and updated</v>
      </c>
      <c r="AC150" t="str">
        <f t="shared" si="229"/>
        <v>References</v>
      </c>
      <c r="AD150" t="str">
        <f t="shared" si="230"/>
        <v>1.4.5.RX</v>
      </c>
      <c r="AE150" t="str">
        <f>IF(AND(AA150&lt;&gt;"",LEFT(AA150,1)&lt;&gt;"#"),IF(LEFT(AA150,1)="-",REPLACE(AA150,1,1,tech!$H$2),AA150),"")</f>
        <v/>
      </c>
      <c r="AF150" t="s">
        <v>495</v>
      </c>
      <c r="AG150" s="492" t="s">
        <v>732</v>
      </c>
      <c r="AH150" t="str">
        <f t="shared" si="231"/>
        <v>Key management is periodically reviewed and updated</v>
      </c>
      <c r="AI150" t="str">
        <f t="shared" si="232"/>
        <v>Guidance</v>
      </c>
      <c r="AJ150" t="str">
        <f t="shared" si="233"/>
        <v>2.1.6.GY</v>
      </c>
      <c r="AK150" t="str">
        <f>IF(AND(AG150&lt;&gt;"",LEFT(AG150,1)&lt;&gt;"#"),IF(LEFT(AG150,1)="-",REPLACE(AG150,1,1,tech!$H$2),AG150),"")</f>
        <v>Periodical review helps to keep the key management accurate and helps to maintain required skills and knowledge.</v>
      </c>
      <c r="AL150" t="s">
        <v>495</v>
      </c>
      <c r="AM150" s="492"/>
      <c r="AN150" t="str">
        <f t="shared" si="180"/>
        <v>Certificate discovery process is documented</v>
      </c>
      <c r="AO150" t="str">
        <f t="shared" si="197"/>
        <v>References</v>
      </c>
      <c r="AP150" t="str">
        <f t="shared" si="212"/>
        <v>2.2.5.RX</v>
      </c>
      <c r="AQ150" t="str">
        <f>IF(AND(AM150&lt;&gt;"",LEFT(AM150,1)&lt;&gt;"#"),IF(LEFT(AM150,1)="-",REPLACE(AM150,1,1,tech!$H$2),AM150),"")</f>
        <v/>
      </c>
      <c r="AR150" t="s">
        <v>495</v>
      </c>
      <c r="AS150" s="492" t="s">
        <v>503</v>
      </c>
      <c r="AT150" t="str">
        <f t="shared" si="181"/>
        <v>Infrastructure activities are periodically reviewed</v>
      </c>
      <c r="AU150" t="str">
        <f t="shared" si="198"/>
        <v>References</v>
      </c>
      <c r="AV150" t="str">
        <f t="shared" si="213"/>
        <v>2.3.5.RX</v>
      </c>
      <c r="AW150" t="str">
        <f>IF(AND(AS150&lt;&gt;"",LEFT(AS150,1)&lt;&gt;"#"),IF(LEFT(AS150,1)="-",REPLACE(AS150,1,1,tech!$H$2),AS150),"")</f>
        <v/>
      </c>
      <c r="AX150" t="s">
        <v>495</v>
      </c>
      <c r="AY150" s="492"/>
      <c r="AZ150" t="str">
        <f t="shared" si="182"/>
        <v>Change management and agility is periodically reviewed</v>
      </c>
      <c r="BA150" t="str">
        <f t="shared" si="199"/>
        <v>References</v>
      </c>
      <c r="BB150" t="str">
        <f t="shared" si="214"/>
        <v>2.4.5.RX</v>
      </c>
      <c r="BC150" t="str">
        <f>IF(AND(AY150&lt;&gt;"",LEFT(AY150,1)&lt;&gt;"#"),IF(LEFT(AY150,1)="-",REPLACE(AY150,1,1,tech!$H$2),AY150),"")</f>
        <v/>
      </c>
      <c r="BD150" t="s">
        <v>495</v>
      </c>
      <c r="BE150" s="492"/>
      <c r="BF150" t="str">
        <f t="shared" si="183"/>
        <v>Competence and information sharing</v>
      </c>
      <c r="BG150" t="str">
        <f t="shared" si="200"/>
        <v>References</v>
      </c>
      <c r="BH150" t="str">
        <f t="shared" si="215"/>
        <v>3.1.5.RX</v>
      </c>
      <c r="BI150" t="str">
        <f>IF(AND(BE150&lt;&gt;"",LEFT(BE150,1)&lt;&gt;"#"),IF(LEFT(BE150,1)="-",REPLACE(BE150,1,1,tech!$H$2),BE150),"")</f>
        <v/>
      </c>
      <c r="BJ150" t="s">
        <v>495</v>
      </c>
      <c r="BK150" s="492"/>
      <c r="BL150" t="str">
        <f t="shared" si="184"/>
        <v>Adoption and application of open standards</v>
      </c>
      <c r="BM150" t="str">
        <f t="shared" si="201"/>
        <v>References</v>
      </c>
      <c r="BN150" t="str">
        <f t="shared" si="216"/>
        <v>3.2.3.RX</v>
      </c>
      <c r="BO150" t="str">
        <f>IF(AND(BK150&lt;&gt;"",LEFT(BK150,1)&lt;&gt;"#"),IF(LEFT(BK150,1)="-",REPLACE(BK150,1,1,tech!$H$2),BK150),"")</f>
        <v/>
      </c>
      <c r="BP150" t="s">
        <v>495</v>
      </c>
      <c r="BQ150" s="492" t="s">
        <v>1167</v>
      </c>
      <c r="BR150" t="str">
        <f t="shared" si="185"/>
        <v>Review of events and logs is periodically performed</v>
      </c>
      <c r="BS150" t="str">
        <f t="shared" si="202"/>
        <v>References</v>
      </c>
      <c r="BT150" t="str">
        <f t="shared" si="217"/>
        <v>3.3.6.RX</v>
      </c>
      <c r="BU150" t="str">
        <f>IF(AND(BQ150&lt;&gt;"",LEFT(BQ150,1)&lt;&gt;"#"),IF(LEFT(BQ150,1)="-",REPLACE(BQ150,1,1,tech!$H$2),BQ150),"")</f>
        <v/>
      </c>
      <c r="BV150" t="s">
        <v>495</v>
      </c>
      <c r="BW150" s="492"/>
      <c r="BX150" t="str">
        <f t="shared" si="186"/>
        <v>Incidents and exceptions handling</v>
      </c>
      <c r="BY150" t="str">
        <f t="shared" si="203"/>
        <v>References</v>
      </c>
      <c r="BZ150" t="str">
        <f t="shared" si="218"/>
        <v>3.4.3.RX</v>
      </c>
      <c r="CA150" t="str">
        <f>IF(AND(BW150&lt;&gt;"",LEFT(BW150,1)&lt;&gt;"#"),IF(LEFT(BW150,1)="-",REPLACE(BW150,1,1,tech!$H$2),BW150),"")</f>
        <v/>
      </c>
      <c r="CB150" t="s">
        <v>495</v>
      </c>
      <c r="CC150" s="492"/>
      <c r="CD150" t="str">
        <f t="shared" si="187"/>
        <v>Resources are periodically reviewed</v>
      </c>
      <c r="CE150" t="str">
        <f t="shared" si="204"/>
        <v>References</v>
      </c>
      <c r="CF150" t="str">
        <f t="shared" si="219"/>
        <v>4.1.4.RX</v>
      </c>
      <c r="CG150" t="str">
        <f>IF(AND(CC150&lt;&gt;"",LEFT(CC150,1)&lt;&gt;"#"),IF(LEFT(CC150,1)="-",REPLACE(CC150,1,1,tech!$H$2),CC150),"")</f>
        <v/>
      </c>
      <c r="CH150" t="s">
        <v>495</v>
      </c>
      <c r="CI150" s="492"/>
      <c r="CJ150" t="str">
        <f t="shared" si="188"/>
        <v>Periodically review knowledge</v>
      </c>
      <c r="CK150" t="str">
        <f t="shared" si="205"/>
        <v>Assessment</v>
      </c>
      <c r="CL150" t="str">
        <f t="shared" si="220"/>
        <v>4.2.5.AX</v>
      </c>
      <c r="CM150" t="str">
        <f>IF(AND(CI150&lt;&gt;"",LEFT(CI150,1)&lt;&gt;"#"),IF(LEFT(CI150,1)="-",REPLACE(CI150,1,1,tech!$H$2),CI150),"")</f>
        <v/>
      </c>
      <c r="CN150" t="s">
        <v>495</v>
      </c>
      <c r="CO150" s="492"/>
      <c r="CP150" t="str">
        <f t="shared" si="189"/>
        <v>Timely communication of important information</v>
      </c>
      <c r="CQ150" t="str">
        <f t="shared" si="206"/>
        <v>References</v>
      </c>
      <c r="CR150" t="str">
        <f t="shared" si="221"/>
        <v>4.3.4.RX</v>
      </c>
      <c r="CS150" t="str">
        <f>IF(AND(CO150&lt;&gt;"",LEFT(CO150,1)&lt;&gt;"#"),IF(LEFT(CO150,1)="-",REPLACE(CO150,1,1,tech!$H$2),CO150),"")</f>
        <v/>
      </c>
      <c r="CT150" t="s">
        <v>495</v>
      </c>
    </row>
    <row r="151" spans="3:98" x14ac:dyDescent="0.25">
      <c r="O151" s="492"/>
      <c r="P151" t="str">
        <f t="shared" si="222"/>
        <v>Policies are periodically reviewed and updated</v>
      </c>
      <c r="Q151" t="str">
        <f t="shared" si="223"/>
        <v>References</v>
      </c>
      <c r="R151" t="str">
        <f t="shared" si="224"/>
        <v>1.2.5.RX</v>
      </c>
      <c r="S151" t="str">
        <f>IF(AND(O151&lt;&gt;"",LEFT(O151,1)&lt;&gt;"#"),IF(LEFT(O151,1)="-",REPLACE(O151,1,1,tech!$H$2),O151),"")</f>
        <v/>
      </c>
      <c r="T151" t="s">
        <v>495</v>
      </c>
      <c r="U151" s="492"/>
      <c r="V151" t="str">
        <f t="shared" si="225"/>
        <v>List of relevant laws, regulations, and standards, exist and is maintained</v>
      </c>
      <c r="W151" t="str">
        <f t="shared" si="226"/>
        <v>References</v>
      </c>
      <c r="X151" t="str">
        <f t="shared" si="227"/>
        <v>1.3.4.RX</v>
      </c>
      <c r="Y151" t="str">
        <f>IF(AND(U151&lt;&gt;"",LEFT(U151,1)&lt;&gt;"#"),IF(LEFT(U151,1)="-",REPLACE(U151,1,1,tech!$H$2),U151),"")</f>
        <v/>
      </c>
      <c r="Z151" t="s">
        <v>495</v>
      </c>
      <c r="AA151" s="492"/>
      <c r="AB151" t="str">
        <f t="shared" si="228"/>
        <v>Processes and procedures are reviewed and updated</v>
      </c>
      <c r="AC151" t="str">
        <f t="shared" si="229"/>
        <v>References</v>
      </c>
      <c r="AD151" t="str">
        <f t="shared" si="230"/>
        <v>1.4.5.RX</v>
      </c>
      <c r="AE151" t="str">
        <f>IF(AND(AA151&lt;&gt;"",LEFT(AA151,1)&lt;&gt;"#"),IF(LEFT(AA151,1)="-",REPLACE(AA151,1,1,tech!$H$2),AA151),"")</f>
        <v/>
      </c>
      <c r="AF151" t="s">
        <v>495</v>
      </c>
      <c r="AG151" s="492" t="s">
        <v>733</v>
      </c>
      <c r="AH151" t="str">
        <f t="shared" si="231"/>
        <v>Key management is periodically reviewed and updated</v>
      </c>
      <c r="AI151" t="str">
        <f t="shared" si="232"/>
        <v>Guidance</v>
      </c>
      <c r="AJ151" t="str">
        <f t="shared" si="233"/>
        <v>2.1.6.GY</v>
      </c>
      <c r="AK151" t="str">
        <f>IF(AND(AG151&lt;&gt;"",LEFT(AG151,1)&lt;&gt;"#"),IF(LEFT(AG151,1)="-",REPLACE(AG151,1,1,tech!$H$2),AG151),"")</f>
        <v>It provides assurance that the expected controls are active and working as intended.</v>
      </c>
      <c r="AL151" t="s">
        <v>495</v>
      </c>
      <c r="AM151" s="492" t="s">
        <v>498</v>
      </c>
      <c r="AN151" t="str">
        <f t="shared" si="180"/>
        <v>Certificate discovery process is documented</v>
      </c>
      <c r="AO151" t="str">
        <f t="shared" si="197"/>
        <v>Guidance</v>
      </c>
      <c r="AP151" t="str">
        <f t="shared" si="212"/>
        <v>2.2.5.GX</v>
      </c>
      <c r="AQ151" t="str">
        <f>IF(AND(AM151&lt;&gt;"",LEFT(AM151,1)&lt;&gt;"#"),IF(LEFT(AM151,1)="-",REPLACE(AM151,1,1,tech!$H$2),AM151),"")</f>
        <v/>
      </c>
      <c r="AR151" t="s">
        <v>495</v>
      </c>
      <c r="AS151" s="492"/>
      <c r="AT151" t="str">
        <f t="shared" si="181"/>
        <v>Infrastructure activities are periodically reviewed</v>
      </c>
      <c r="AU151" t="str">
        <f t="shared" si="198"/>
        <v>References</v>
      </c>
      <c r="AV151" t="str">
        <f t="shared" si="213"/>
        <v>2.3.5.RX</v>
      </c>
      <c r="AW151" t="str">
        <f>IF(AND(AS151&lt;&gt;"",LEFT(AS151,1)&lt;&gt;"#"),IF(LEFT(AS151,1)="-",REPLACE(AS151,1,1,tech!$H$2),AS151),"")</f>
        <v/>
      </c>
      <c r="AX151" t="s">
        <v>495</v>
      </c>
      <c r="AY151" s="492"/>
      <c r="AZ151" t="str">
        <f t="shared" si="182"/>
        <v>Change management and agility is periodically reviewed</v>
      </c>
      <c r="BA151" t="str">
        <f t="shared" si="199"/>
        <v>References</v>
      </c>
      <c r="BB151" t="str">
        <f t="shared" si="214"/>
        <v>2.4.5.RX</v>
      </c>
      <c r="BC151" t="str">
        <f>IF(AND(AY151&lt;&gt;"",LEFT(AY151,1)&lt;&gt;"#"),IF(LEFT(AY151,1)="-",REPLACE(AY151,1,1,tech!$H$2),AY151),"")</f>
        <v/>
      </c>
      <c r="BD151" t="s">
        <v>495</v>
      </c>
      <c r="BE151" s="492" t="s">
        <v>1040</v>
      </c>
      <c r="BF151" t="str">
        <f t="shared" si="183"/>
        <v>Competence and information sharing</v>
      </c>
      <c r="BG151" t="str">
        <f t="shared" si="200"/>
        <v>References</v>
      </c>
      <c r="BH151" t="str">
        <f t="shared" si="215"/>
        <v>3.1.5.RY</v>
      </c>
      <c r="BI151" t="str">
        <f>IF(AND(BE151&lt;&gt;"",LEFT(BE151,1)&lt;&gt;"#"),IF(LEFT(BE151,1)="-",REPLACE(BE151,1,1,tech!$H$2),BE151),"")</f>
        <v>• [ISO 223XX Security and resilience standards](https://www.iso.org/standard/77008.html)</v>
      </c>
      <c r="BJ151" t="s">
        <v>495</v>
      </c>
      <c r="BK151" s="492"/>
      <c r="BL151" t="str">
        <f t="shared" si="184"/>
        <v>Adoption and application of open standards</v>
      </c>
      <c r="BM151" t="str">
        <f t="shared" si="201"/>
        <v>References</v>
      </c>
      <c r="BN151" t="str">
        <f t="shared" si="216"/>
        <v>3.2.3.RX</v>
      </c>
      <c r="BO151" t="str">
        <f>IF(AND(BK151&lt;&gt;"",LEFT(BK151,1)&lt;&gt;"#"),IF(LEFT(BK151,1)="-",REPLACE(BK151,1,1,tech!$H$2),BK151),"")</f>
        <v/>
      </c>
      <c r="BP151" t="s">
        <v>495</v>
      </c>
      <c r="BQ151" s="492"/>
      <c r="BR151" t="str">
        <f t="shared" si="185"/>
        <v>Review of events and logs is periodically performed</v>
      </c>
      <c r="BS151" t="str">
        <f t="shared" si="202"/>
        <v>References</v>
      </c>
      <c r="BT151" t="str">
        <f t="shared" si="217"/>
        <v>3.3.6.RX</v>
      </c>
      <c r="BU151" t="str">
        <f>IF(AND(BQ151&lt;&gt;"",LEFT(BQ151,1)&lt;&gt;"#"),IF(LEFT(BQ151,1)="-",REPLACE(BQ151,1,1,tech!$H$2),BQ151),"")</f>
        <v/>
      </c>
      <c r="BV151" t="s">
        <v>495</v>
      </c>
      <c r="BW151" s="492"/>
      <c r="BX151" t="str">
        <f t="shared" si="186"/>
        <v>Incidents and exceptions handling</v>
      </c>
      <c r="BY151" t="str">
        <f t="shared" si="203"/>
        <v>References</v>
      </c>
      <c r="BZ151" t="str">
        <f t="shared" si="218"/>
        <v>3.4.3.RX</v>
      </c>
      <c r="CA151" t="str">
        <f>IF(AND(BW151&lt;&gt;"",LEFT(BW151,1)&lt;&gt;"#"),IF(LEFT(BW151,1)="-",REPLACE(BW151,1,1,tech!$H$2),BW151),"")</f>
        <v/>
      </c>
      <c r="CB151" t="s">
        <v>495</v>
      </c>
      <c r="CC151" s="492"/>
      <c r="CD151" t="str">
        <f t="shared" si="187"/>
        <v>Resources are periodically reviewed</v>
      </c>
      <c r="CE151" t="str">
        <f t="shared" si="204"/>
        <v>References</v>
      </c>
      <c r="CF151" t="str">
        <f t="shared" si="219"/>
        <v>4.1.4.RX</v>
      </c>
      <c r="CG151" t="str">
        <f>IF(AND(CC151&lt;&gt;"",LEFT(CC151,1)&lt;&gt;"#"),IF(LEFT(CC151,1)="-",REPLACE(CC151,1,1,tech!$H$2),CC151),"")</f>
        <v/>
      </c>
      <c r="CH151" t="s">
        <v>495</v>
      </c>
      <c r="CI151" s="492" t="s">
        <v>1360</v>
      </c>
      <c r="CJ151" t="str">
        <f t="shared" si="188"/>
        <v>Periodically review knowledge</v>
      </c>
      <c r="CK151" t="str">
        <f t="shared" si="205"/>
        <v>Assessment</v>
      </c>
      <c r="CL151" t="str">
        <f t="shared" si="220"/>
        <v>4.2.5.AY</v>
      </c>
      <c r="CM151" t="str">
        <f>IF(AND(CI151&lt;&gt;"",LEFT(CI151,1)&lt;&gt;"#"),IF(LEFT(CI151,1)="-",REPLACE(CI151,1,1,tech!$H$2),CI151),"")</f>
        <v>• Training plan Review process</v>
      </c>
      <c r="CN151" t="s">
        <v>495</v>
      </c>
      <c r="CO151" s="492"/>
      <c r="CP151" t="str">
        <f t="shared" si="189"/>
        <v>Timely communication of important information</v>
      </c>
      <c r="CQ151" t="str">
        <f t="shared" si="206"/>
        <v>References</v>
      </c>
      <c r="CR151" t="str">
        <f t="shared" si="221"/>
        <v>4.3.4.RX</v>
      </c>
      <c r="CS151" t="str">
        <f>IF(AND(CO151&lt;&gt;"",LEFT(CO151,1)&lt;&gt;"#"),IF(LEFT(CO151,1)="-",REPLACE(CO151,1,1,tech!$H$2),CO151),"")</f>
        <v/>
      </c>
      <c r="CT151" t="s">
        <v>495</v>
      </c>
    </row>
    <row r="152" spans="3:98" x14ac:dyDescent="0.25">
      <c r="O152" s="492"/>
      <c r="P152" t="str">
        <f t="shared" si="222"/>
        <v>Policies are periodically reviewed and updated</v>
      </c>
      <c r="Q152" t="str">
        <f t="shared" si="223"/>
        <v>References</v>
      </c>
      <c r="R152" t="str">
        <f t="shared" si="224"/>
        <v>1.2.5.RX</v>
      </c>
      <c r="S152" t="str">
        <f>IF(AND(O152&lt;&gt;"",LEFT(O152,1)&lt;&gt;"#"),IF(LEFT(O152,1)="-",REPLACE(O152,1,1,tech!$H$2),O152),"")</f>
        <v/>
      </c>
      <c r="T152" t="s">
        <v>495</v>
      </c>
      <c r="U152" s="492"/>
      <c r="V152" t="str">
        <f t="shared" si="225"/>
        <v>List of relevant laws, regulations, and standards, exist and is maintained</v>
      </c>
      <c r="W152" t="str">
        <f t="shared" si="226"/>
        <v>References</v>
      </c>
      <c r="X152" t="str">
        <f t="shared" si="227"/>
        <v>1.3.4.RX</v>
      </c>
      <c r="Y152" t="str">
        <f>IF(AND(U152&lt;&gt;"",LEFT(U152,1)&lt;&gt;"#"),IF(LEFT(U152,1)="-",REPLACE(U152,1,1,tech!$H$2),U152),"")</f>
        <v/>
      </c>
      <c r="Z152" t="s">
        <v>495</v>
      </c>
      <c r="AA152" s="492"/>
      <c r="AB152" t="str">
        <f t="shared" si="228"/>
        <v>Processes and procedures are reviewed and updated</v>
      </c>
      <c r="AC152" t="str">
        <f t="shared" si="229"/>
        <v>References</v>
      </c>
      <c r="AD152" t="str">
        <f t="shared" si="230"/>
        <v>1.4.5.RX</v>
      </c>
      <c r="AE152" t="str">
        <f>IF(AND(AA152&lt;&gt;"",LEFT(AA152,1)&lt;&gt;"#"),IF(LEFT(AA152,1)="-",REPLACE(AA152,1,1,tech!$H$2),AA152),"")</f>
        <v/>
      </c>
      <c r="AF152" t="s">
        <v>495</v>
      </c>
      <c r="AG152" s="492"/>
      <c r="AH152" t="str">
        <f t="shared" si="231"/>
        <v>Key management is periodically reviewed and updated</v>
      </c>
      <c r="AI152" t="str">
        <f t="shared" si="232"/>
        <v>Guidance</v>
      </c>
      <c r="AJ152" t="str">
        <f t="shared" si="233"/>
        <v>2.1.6.GX</v>
      </c>
      <c r="AK152" t="str">
        <f>IF(AND(AG152&lt;&gt;"",LEFT(AG152,1)&lt;&gt;"#"),IF(LEFT(AG152,1)="-",REPLACE(AG152,1,1,tech!$H$2),AG152),"")</f>
        <v/>
      </c>
      <c r="AL152" t="s">
        <v>495</v>
      </c>
      <c r="AM152" s="492"/>
      <c r="AN152" t="str">
        <f t="shared" si="180"/>
        <v>Certificate discovery process is documented</v>
      </c>
      <c r="AO152" t="str">
        <f t="shared" si="197"/>
        <v>Guidance</v>
      </c>
      <c r="AP152" t="str">
        <f t="shared" si="212"/>
        <v>2.2.5.GX</v>
      </c>
      <c r="AQ152" t="str">
        <f>IF(AND(AM152&lt;&gt;"",LEFT(AM152,1)&lt;&gt;"#"),IF(LEFT(AM152,1)="-",REPLACE(AM152,1,1,tech!$H$2),AM152),"")</f>
        <v/>
      </c>
      <c r="AR152" t="s">
        <v>495</v>
      </c>
      <c r="AS152" s="492" t="s">
        <v>896</v>
      </c>
      <c r="AT152" t="str">
        <f t="shared" si="181"/>
        <v>Infrastructure activities are periodically reviewed</v>
      </c>
      <c r="AU152" t="str">
        <f t="shared" si="198"/>
        <v>References</v>
      </c>
      <c r="AV152" t="str">
        <f t="shared" si="213"/>
        <v>2.3.5.RY</v>
      </c>
      <c r="AW152" t="str">
        <f>IF(AND(AS152&lt;&gt;"",LEFT(AS152,1)&lt;&gt;"#"),IF(LEFT(AS152,1)="-",REPLACE(AS152,1,1,tech!$H$2),AS152),"")</f>
        <v>• [ISO/IEC 20000 and related standards](https://www.iso.org/standard/70636.html)</v>
      </c>
      <c r="AX152" t="s">
        <v>495</v>
      </c>
      <c r="AY152" s="492"/>
      <c r="AZ152" t="str">
        <f t="shared" si="182"/>
        <v>Change management and agility is periodically reviewed</v>
      </c>
      <c r="BA152" t="str">
        <f t="shared" si="199"/>
        <v>References</v>
      </c>
      <c r="BB152" t="str">
        <f t="shared" si="214"/>
        <v>2.4.5.RX</v>
      </c>
      <c r="BC152" t="str">
        <f>IF(AND(AY152&lt;&gt;"",LEFT(AY152,1)&lt;&gt;"#"),IF(LEFT(AY152,1)="-",REPLACE(AY152,1,1,tech!$H$2),AY152),"")</f>
        <v/>
      </c>
      <c r="BD152" t="s">
        <v>495</v>
      </c>
      <c r="BE152" s="492"/>
      <c r="BF152" t="str">
        <f t="shared" si="183"/>
        <v>Competence and information sharing</v>
      </c>
      <c r="BG152" t="str">
        <f t="shared" si="200"/>
        <v>References</v>
      </c>
      <c r="BH152" t="str">
        <f t="shared" si="215"/>
        <v>3.1.5.RX</v>
      </c>
      <c r="BI152" t="str">
        <f>IF(AND(BE152&lt;&gt;"",LEFT(BE152,1)&lt;&gt;"#"),IF(LEFT(BE152,1)="-",REPLACE(BE152,1,1,tech!$H$2),BE152),"")</f>
        <v/>
      </c>
      <c r="BJ152" t="s">
        <v>495</v>
      </c>
      <c r="BK152" s="492"/>
      <c r="BL152" t="str">
        <f t="shared" si="184"/>
        <v>Adoption and application of open standards</v>
      </c>
      <c r="BM152" t="str">
        <f t="shared" si="201"/>
        <v>References</v>
      </c>
      <c r="BN152" t="str">
        <f t="shared" si="216"/>
        <v>3.2.3.RX</v>
      </c>
      <c r="BO152" t="str">
        <f>IF(AND(BK152&lt;&gt;"",LEFT(BK152,1)&lt;&gt;"#"),IF(LEFT(BK152,1)="-",REPLACE(BK152,1,1,tech!$H$2),BK152),"")</f>
        <v/>
      </c>
      <c r="BP152" t="s">
        <v>495</v>
      </c>
      <c r="BQ152" s="492" t="s">
        <v>498</v>
      </c>
      <c r="BR152" t="str">
        <f t="shared" si="185"/>
        <v>Review of events and logs is periodically performed</v>
      </c>
      <c r="BS152" t="str">
        <f t="shared" si="202"/>
        <v>Guidance</v>
      </c>
      <c r="BT152" t="str">
        <f t="shared" si="217"/>
        <v>3.3.6.GX</v>
      </c>
      <c r="BU152" t="str">
        <f>IF(AND(BQ152&lt;&gt;"",LEFT(BQ152,1)&lt;&gt;"#"),IF(LEFT(BQ152,1)="-",REPLACE(BQ152,1,1,tech!$H$2),BQ152),"")</f>
        <v/>
      </c>
      <c r="BV152" t="s">
        <v>495</v>
      </c>
      <c r="BW152" s="492"/>
      <c r="BX152" t="str">
        <f t="shared" si="186"/>
        <v>Incidents and exceptions handling</v>
      </c>
      <c r="BY152" t="str">
        <f t="shared" si="203"/>
        <v>References</v>
      </c>
      <c r="BZ152" t="str">
        <f t="shared" si="218"/>
        <v>3.4.3.RX</v>
      </c>
      <c r="CA152" t="str">
        <f>IF(AND(BW152&lt;&gt;"",LEFT(BW152,1)&lt;&gt;"#"),IF(LEFT(BW152,1)="-",REPLACE(BW152,1,1,tech!$H$2),BW152),"")</f>
        <v/>
      </c>
      <c r="CB152" t="s">
        <v>495</v>
      </c>
      <c r="CC152" s="492"/>
      <c r="CD152" t="str">
        <f t="shared" si="187"/>
        <v>Resources are periodically reviewed</v>
      </c>
      <c r="CE152" t="str">
        <f t="shared" si="204"/>
        <v>References</v>
      </c>
      <c r="CF152" t="str">
        <f t="shared" si="219"/>
        <v>4.1.4.RX</v>
      </c>
      <c r="CG152" t="str">
        <f>IF(AND(CC152&lt;&gt;"",LEFT(CC152,1)&lt;&gt;"#"),IF(LEFT(CC152,1)="-",REPLACE(CC152,1,1,tech!$H$2),CC152),"")</f>
        <v/>
      </c>
      <c r="CH152" t="s">
        <v>495</v>
      </c>
      <c r="CI152" s="492" t="s">
        <v>768</v>
      </c>
      <c r="CJ152" t="str">
        <f t="shared" si="188"/>
        <v>Periodically review knowledge</v>
      </c>
      <c r="CK152" t="str">
        <f t="shared" si="205"/>
        <v>Assessment</v>
      </c>
      <c r="CL152" t="str">
        <f t="shared" si="220"/>
        <v>4.2.5.AY</v>
      </c>
      <c r="CM152" t="str">
        <f>IF(AND(CI152&lt;&gt;"",LEFT(CI152,1)&lt;&gt;"#"),IF(LEFT(CI152,1)="-",REPLACE(CI152,1,1,tech!$H$2),CI152),"")</f>
        <v>• implementation of Review process</v>
      </c>
      <c r="CN152" t="s">
        <v>495</v>
      </c>
      <c r="CO152" s="492"/>
      <c r="CP152" t="str">
        <f t="shared" si="189"/>
        <v>Timely communication of important information</v>
      </c>
      <c r="CQ152" t="str">
        <f t="shared" si="206"/>
        <v>References</v>
      </c>
      <c r="CR152" t="str">
        <f t="shared" si="221"/>
        <v>4.3.4.RX</v>
      </c>
      <c r="CS152" t="str">
        <f>IF(AND(CO152&lt;&gt;"",LEFT(CO152,1)&lt;&gt;"#"),IF(LEFT(CO152,1)="-",REPLACE(CO152,1,1,tech!$H$2),CO152),"")</f>
        <v/>
      </c>
      <c r="CT152" t="s">
        <v>495</v>
      </c>
    </row>
    <row r="153" spans="3:98" x14ac:dyDescent="0.25">
      <c r="O153" s="492"/>
      <c r="P153" t="str">
        <f t="shared" si="222"/>
        <v>Policies are periodically reviewed and updated</v>
      </c>
      <c r="Q153" t="str">
        <f t="shared" si="223"/>
        <v>References</v>
      </c>
      <c r="R153" t="str">
        <f t="shared" si="224"/>
        <v>1.2.5.RX</v>
      </c>
      <c r="S153" t="str">
        <f>IF(AND(O153&lt;&gt;"",LEFT(O153,1)&lt;&gt;"#"),IF(LEFT(O153,1)="-",REPLACE(O153,1,1,tech!$H$2),O153),"")</f>
        <v/>
      </c>
      <c r="T153" t="s">
        <v>495</v>
      </c>
      <c r="U153" s="492"/>
      <c r="V153" t="str">
        <f t="shared" si="225"/>
        <v>List of relevant laws, regulations, and standards, exist and is maintained</v>
      </c>
      <c r="W153" t="str">
        <f t="shared" si="226"/>
        <v>References</v>
      </c>
      <c r="X153" t="str">
        <f t="shared" si="227"/>
        <v>1.3.4.RX</v>
      </c>
      <c r="Y153" t="str">
        <f>IF(AND(U153&lt;&gt;"",LEFT(U153,1)&lt;&gt;"#"),IF(LEFT(U153,1)="-",REPLACE(U153,1,1,tech!$H$2),U153),"")</f>
        <v/>
      </c>
      <c r="Z153" t="s">
        <v>495</v>
      </c>
      <c r="AA153" s="492"/>
      <c r="AB153" t="str">
        <f t="shared" si="228"/>
        <v>Processes and procedures are reviewed and updated</v>
      </c>
      <c r="AC153" t="str">
        <f t="shared" si="229"/>
        <v>References</v>
      </c>
      <c r="AD153" t="str">
        <f t="shared" si="230"/>
        <v>1.4.5.RX</v>
      </c>
      <c r="AE153" t="str">
        <f>IF(AND(AA153&lt;&gt;"",LEFT(AA153,1)&lt;&gt;"#"),IF(LEFT(AA153,1)="-",REPLACE(AA153,1,1,tech!$H$2),AA153),"")</f>
        <v/>
      </c>
      <c r="AF153" t="s">
        <v>495</v>
      </c>
      <c r="AG153" s="492" t="s">
        <v>501</v>
      </c>
      <c r="AH153" t="str">
        <f t="shared" si="231"/>
        <v>Key management is periodically reviewed and updated</v>
      </c>
      <c r="AI153" t="str">
        <f t="shared" si="232"/>
        <v>Assessment</v>
      </c>
      <c r="AJ153" t="str">
        <f t="shared" si="233"/>
        <v>2.1.6.AX</v>
      </c>
      <c r="AK153" t="str">
        <f>IF(AND(AG153&lt;&gt;"",LEFT(AG153,1)&lt;&gt;"#"),IF(LEFT(AG153,1)="-",REPLACE(AG153,1,1,tech!$H$2),AG153),"")</f>
        <v/>
      </c>
      <c r="AL153" t="s">
        <v>495</v>
      </c>
      <c r="AM153" s="492" t="s">
        <v>859</v>
      </c>
      <c r="AN153" t="str">
        <f t="shared" si="180"/>
        <v>Certificate discovery process is documented</v>
      </c>
      <c r="AO153" t="str">
        <f t="shared" si="197"/>
        <v>Guidance</v>
      </c>
      <c r="AP153" t="str">
        <f t="shared" si="212"/>
        <v>2.2.5.GY</v>
      </c>
      <c r="AQ153" t="str">
        <f>IF(AND(AM153&lt;&gt;"",LEFT(AM153,1)&lt;&gt;"#"),IF(LEFT(AM153,1)="-",REPLACE(AM153,1,1,tech!$H$2),AM153),"")</f>
        <v>Certificate discovery process protects an organization from unknown certificates that may be deployed in the infrastructure. Unknown certificates may be further issued by unauthorized certification authorities and mislead users of services. Certificate discovery helps to maintain current inventory of certificates, but does not depend on the inventory and is not nessecary to maintain an inventory. Certificate discovery process should be implemented based on supported certificates and use-cases, for example:</v>
      </c>
      <c r="AR153" t="s">
        <v>495</v>
      </c>
      <c r="AS153" s="492" t="s">
        <v>504</v>
      </c>
      <c r="AT153" t="str">
        <f t="shared" si="181"/>
        <v>Infrastructure activities are periodically reviewed</v>
      </c>
      <c r="AU153" t="str">
        <f t="shared" si="198"/>
        <v>References</v>
      </c>
      <c r="AV153" t="str">
        <f t="shared" si="213"/>
        <v>2.3.5.RY</v>
      </c>
      <c r="AW153" t="str">
        <f>IF(AND(AS153&lt;&gt;"",LEFT(AS153,1)&lt;&gt;"#"),IF(LEFT(AS153,1)="-",REPLACE(AS153,1,1,tech!$H$2),AS153),"")</f>
        <v>• [ISO/IEC 27001 - Information security management systems](https://www.iso.org/standard/54534.html)</v>
      </c>
      <c r="AX153" t="s">
        <v>495</v>
      </c>
      <c r="AY153" s="492"/>
      <c r="AZ153" t="str">
        <f t="shared" si="182"/>
        <v>Change management and agility is periodically reviewed</v>
      </c>
      <c r="BA153" t="str">
        <f t="shared" si="199"/>
        <v>References</v>
      </c>
      <c r="BB153" t="str">
        <f t="shared" si="214"/>
        <v>2.4.5.RX</v>
      </c>
      <c r="BC153" t="str">
        <f>IF(AND(AY153&lt;&gt;"",LEFT(AY153,1)&lt;&gt;"#"),IF(LEFT(AY153,1)="-",REPLACE(AY153,1,1,tech!$H$2),AY153),"")</f>
        <v/>
      </c>
      <c r="BD153" t="s">
        <v>495</v>
      </c>
      <c r="BE153" s="492" t="s">
        <v>1047</v>
      </c>
      <c r="BF153" t="str">
        <f t="shared" si="183"/>
        <v>Continual review and improvement</v>
      </c>
      <c r="BG153" t="str">
        <f t="shared" si="200"/>
        <v>References</v>
      </c>
      <c r="BH153" t="str">
        <f t="shared" si="215"/>
        <v>3.1.6.RX</v>
      </c>
      <c r="BI153" t="str">
        <f>IF(AND(BE153&lt;&gt;"",LEFT(BE153,1)&lt;&gt;"#"),IF(LEFT(BE153,1)="-",REPLACE(BE153,1,1,tech!$H$2),BE153),"")</f>
        <v/>
      </c>
      <c r="BJ153" t="s">
        <v>495</v>
      </c>
      <c r="BK153" s="492"/>
      <c r="BL153" t="str">
        <f t="shared" si="184"/>
        <v>Adoption and application of open standards</v>
      </c>
      <c r="BM153" t="str">
        <f t="shared" si="201"/>
        <v>References</v>
      </c>
      <c r="BN153" t="str">
        <f t="shared" si="216"/>
        <v>3.2.3.RX</v>
      </c>
      <c r="BO153" t="str">
        <f>IF(AND(BK153&lt;&gt;"",LEFT(BK153,1)&lt;&gt;"#"),IF(LEFT(BK153,1)="-",REPLACE(BK153,1,1,tech!$H$2),BK153),"")</f>
        <v/>
      </c>
      <c r="BP153" t="s">
        <v>495</v>
      </c>
      <c r="BQ153" s="492"/>
      <c r="BR153" t="str">
        <f t="shared" si="185"/>
        <v>Review of events and logs is periodically performed</v>
      </c>
      <c r="BS153" t="str">
        <f t="shared" si="202"/>
        <v>Guidance</v>
      </c>
      <c r="BT153" t="str">
        <f t="shared" si="217"/>
        <v>3.3.6.GX</v>
      </c>
      <c r="BU153" t="str">
        <f>IF(AND(BQ153&lt;&gt;"",LEFT(BQ153,1)&lt;&gt;"#"),IF(LEFT(BQ153,1)="-",REPLACE(BQ153,1,1,tech!$H$2),BQ153),"")</f>
        <v/>
      </c>
      <c r="BV153" t="s">
        <v>495</v>
      </c>
      <c r="BW153" s="492"/>
      <c r="BX153" t="str">
        <f t="shared" si="186"/>
        <v>Incidents and exceptions handling</v>
      </c>
      <c r="BY153" t="str">
        <f t="shared" si="203"/>
        <v>References</v>
      </c>
      <c r="BZ153" t="str">
        <f t="shared" si="218"/>
        <v>3.4.3.RX</v>
      </c>
      <c r="CA153" t="str">
        <f>IF(AND(BW153&lt;&gt;"",LEFT(BW153,1)&lt;&gt;"#"),IF(LEFT(BW153,1)="-",REPLACE(BW153,1,1,tech!$H$2),BW153),"")</f>
        <v/>
      </c>
      <c r="CB153" t="s">
        <v>495</v>
      </c>
      <c r="CC153" s="492"/>
      <c r="CD153" t="str">
        <f t="shared" si="187"/>
        <v>Resources are periodically reviewed</v>
      </c>
      <c r="CE153" t="str">
        <f t="shared" si="204"/>
        <v>References</v>
      </c>
      <c r="CF153" t="str">
        <f t="shared" si="219"/>
        <v>4.1.4.RX</v>
      </c>
      <c r="CG153" t="str">
        <f>IF(AND(CC153&lt;&gt;"",LEFT(CC153,1)&lt;&gt;"#"),IF(LEFT(CC153,1)="-",REPLACE(CC153,1,1,tech!$H$2),CC153),"")</f>
        <v/>
      </c>
      <c r="CH153" t="s">
        <v>495</v>
      </c>
      <c r="CI153" s="492" t="s">
        <v>598</v>
      </c>
      <c r="CJ153" t="str">
        <f t="shared" si="188"/>
        <v>Periodically review knowledge</v>
      </c>
      <c r="CK153" t="str">
        <f t="shared" si="205"/>
        <v>Assessment</v>
      </c>
      <c r="CL153" t="str">
        <f t="shared" si="220"/>
        <v>4.2.5.AY</v>
      </c>
      <c r="CM153" t="str">
        <f>IF(AND(CI153&lt;&gt;"",LEFT(CI153,1)&lt;&gt;"#"),IF(LEFT(CI153,1)="-",REPLACE(CI153,1,1,tech!$H$2),CI153),"")</f>
        <v>• Validation of documentation and reviews</v>
      </c>
      <c r="CN153" t="s">
        <v>495</v>
      </c>
      <c r="CO153" s="492"/>
      <c r="CP153" t="str">
        <f t="shared" si="189"/>
        <v>Timely communication of important information</v>
      </c>
      <c r="CQ153" t="str">
        <f t="shared" si="206"/>
        <v>References</v>
      </c>
      <c r="CR153" t="str">
        <f t="shared" si="221"/>
        <v>4.3.4.RX</v>
      </c>
      <c r="CS153" t="str">
        <f>IF(AND(CO153&lt;&gt;"",LEFT(CO153,1)&lt;&gt;"#"),IF(LEFT(CO153,1)="-",REPLACE(CO153,1,1,tech!$H$2),CO153),"")</f>
        <v/>
      </c>
      <c r="CT153" t="s">
        <v>495</v>
      </c>
    </row>
    <row r="154" spans="3:98" x14ac:dyDescent="0.25">
      <c r="O154" s="492"/>
      <c r="P154" t="str">
        <f t="shared" si="222"/>
        <v>Policies are periodically reviewed and updated</v>
      </c>
      <c r="Q154" t="str">
        <f t="shared" si="223"/>
        <v>References</v>
      </c>
      <c r="R154" t="str">
        <f t="shared" si="224"/>
        <v>1.2.5.RX</v>
      </c>
      <c r="S154" t="str">
        <f>IF(AND(O154&lt;&gt;"",LEFT(O154,1)&lt;&gt;"#"),IF(LEFT(O154,1)="-",REPLACE(O154,1,1,tech!$H$2),O154),"")</f>
        <v/>
      </c>
      <c r="T154" t="s">
        <v>495</v>
      </c>
      <c r="U154" s="492"/>
      <c r="V154" t="str">
        <f t="shared" si="225"/>
        <v>List of relevant laws, regulations, and standards, exist and is maintained</v>
      </c>
      <c r="W154" t="str">
        <f t="shared" si="226"/>
        <v>References</v>
      </c>
      <c r="X154" t="str">
        <f t="shared" si="227"/>
        <v>1.3.4.RX</v>
      </c>
      <c r="Y154" t="str">
        <f>IF(AND(U154&lt;&gt;"",LEFT(U154,1)&lt;&gt;"#"),IF(LEFT(U154,1)="-",REPLACE(U154,1,1,tech!$H$2),U154),"")</f>
        <v/>
      </c>
      <c r="Z154" t="s">
        <v>495</v>
      </c>
      <c r="AA154" s="492"/>
      <c r="AB154" t="str">
        <f t="shared" si="228"/>
        <v>Processes and procedures are reviewed and updated</v>
      </c>
      <c r="AC154" t="str">
        <f t="shared" si="229"/>
        <v>References</v>
      </c>
      <c r="AD154" t="str">
        <f t="shared" si="230"/>
        <v>1.4.5.RX</v>
      </c>
      <c r="AE154" t="str">
        <f>IF(AND(AA154&lt;&gt;"",LEFT(AA154,1)&lt;&gt;"#"),IF(LEFT(AA154,1)="-",REPLACE(AA154,1,1,tech!$H$2),AA154),"")</f>
        <v/>
      </c>
      <c r="AF154" t="s">
        <v>495</v>
      </c>
      <c r="AG154" s="492"/>
      <c r="AH154" t="str">
        <f t="shared" si="231"/>
        <v>Key management is periodically reviewed and updated</v>
      </c>
      <c r="AI154" t="str">
        <f t="shared" si="232"/>
        <v>Assessment</v>
      </c>
      <c r="AJ154" t="str">
        <f t="shared" si="233"/>
        <v>2.1.6.AX</v>
      </c>
      <c r="AK154" t="str">
        <f>IF(AND(AG154&lt;&gt;"",LEFT(AG154,1)&lt;&gt;"#"),IF(LEFT(AG154,1)="-",REPLACE(AG154,1,1,tech!$H$2),AG154),"")</f>
        <v/>
      </c>
      <c r="AL154" t="s">
        <v>495</v>
      </c>
      <c r="AM154" s="492" t="s">
        <v>884</v>
      </c>
      <c r="AN154" t="str">
        <f t="shared" si="180"/>
        <v>Certificate discovery process is documented</v>
      </c>
      <c r="AO154" t="str">
        <f t="shared" si="197"/>
        <v>Guidance</v>
      </c>
      <c r="AP154" t="str">
        <f t="shared" si="212"/>
        <v>2.2.5.GY</v>
      </c>
      <c r="AQ154" t="str">
        <f>IF(AND(AM154&lt;&gt;"",LEFT(AM154,1)&lt;&gt;"#"),IF(LEFT(AM154,1)="-",REPLACE(AM154,1,1,tech!$H$2),AM154),"")</f>
        <v>• to scan the network for certificates used on known protocols and ports to discover certificates that can potentially cause service outage or breach</v>
      </c>
      <c r="AR154" t="s">
        <v>495</v>
      </c>
      <c r="AS154" s="492"/>
      <c r="AT154" t="str">
        <f t="shared" si="181"/>
        <v>Infrastructure activities are periodically reviewed</v>
      </c>
      <c r="AU154" t="str">
        <f t="shared" si="198"/>
        <v>References</v>
      </c>
      <c r="AV154" t="str">
        <f t="shared" si="213"/>
        <v>2.3.5.RX</v>
      </c>
      <c r="AW154" t="str">
        <f>IF(AND(AS154&lt;&gt;"",LEFT(AS154,1)&lt;&gt;"#"),IF(LEFT(AS154,1)="-",REPLACE(AS154,1,1,tech!$H$2),AS154),"")</f>
        <v/>
      </c>
      <c r="AX154" t="s">
        <v>495</v>
      </c>
      <c r="AY154" s="492"/>
      <c r="AZ154" t="str">
        <f t="shared" si="182"/>
        <v>Change management and agility is periodically reviewed</v>
      </c>
      <c r="BA154" t="str">
        <f t="shared" si="199"/>
        <v>References</v>
      </c>
      <c r="BB154" t="str">
        <f t="shared" si="214"/>
        <v>2.4.5.RX</v>
      </c>
      <c r="BC154" t="str">
        <f>IF(AND(AY154&lt;&gt;"",LEFT(AY154,1)&lt;&gt;"#"),IF(LEFT(AY154,1)="-",REPLACE(AY154,1,1,tech!$H$2),AY154),"")</f>
        <v/>
      </c>
      <c r="BD154" t="s">
        <v>495</v>
      </c>
      <c r="BE154" s="492"/>
      <c r="BF154" t="str">
        <f t="shared" si="183"/>
        <v>Continual review and improvement</v>
      </c>
      <c r="BG154" t="str">
        <f t="shared" si="200"/>
        <v>References</v>
      </c>
      <c r="BH154" t="str">
        <f t="shared" si="215"/>
        <v>3.1.6.RX</v>
      </c>
      <c r="BI154" t="str">
        <f>IF(AND(BE154&lt;&gt;"",LEFT(BE154,1)&lt;&gt;"#"),IF(LEFT(BE154,1)="-",REPLACE(BE154,1,1,tech!$H$2),BE154),"")</f>
        <v/>
      </c>
      <c r="BJ154" t="s">
        <v>495</v>
      </c>
      <c r="BK154" s="492"/>
      <c r="BL154" t="str">
        <f t="shared" si="184"/>
        <v>Adoption and application of open standards</v>
      </c>
      <c r="BM154" t="str">
        <f t="shared" si="201"/>
        <v>References</v>
      </c>
      <c r="BN154" t="str">
        <f t="shared" si="216"/>
        <v>3.2.3.RX</v>
      </c>
      <c r="BO154" t="str">
        <f>IF(AND(BK154&lt;&gt;"",LEFT(BK154,1)&lt;&gt;"#"),IF(LEFT(BK154,1)="-",REPLACE(BK154,1,1,tech!$H$2),BK154),"")</f>
        <v/>
      </c>
      <c r="BP154" t="s">
        <v>495</v>
      </c>
      <c r="BQ154" s="492" t="s">
        <v>1168</v>
      </c>
      <c r="BR154" t="str">
        <f t="shared" si="185"/>
        <v>Review of events and logs is periodically performed</v>
      </c>
      <c r="BS154" t="str">
        <f t="shared" si="202"/>
        <v>Guidance</v>
      </c>
      <c r="BT154" t="str">
        <f t="shared" si="217"/>
        <v>3.3.6.GY</v>
      </c>
      <c r="BU154" t="str">
        <f>IF(AND(BQ154&lt;&gt;"",LEFT(BQ154,1)&lt;&gt;"#"),IF(LEFT(BQ154,1)="-",REPLACE(BQ154,1,1,tech!$H$2),BQ154),"")</f>
        <v>Logs and events should be reviewed frequently, preferably automatically, to determine security related issues, potential systems failure, identify anomalies or suspected activity. Regular review should be confirmed by authorized personnel who can proactively identify issues before they become problems.</v>
      </c>
      <c r="BV154" t="s">
        <v>495</v>
      </c>
      <c r="BW154" s="492"/>
      <c r="BX154" t="str">
        <f t="shared" si="186"/>
        <v>Incidents and exceptions handling</v>
      </c>
      <c r="BY154" t="str">
        <f t="shared" si="203"/>
        <v>References</v>
      </c>
      <c r="BZ154" t="str">
        <f t="shared" si="218"/>
        <v>3.4.3.RX</v>
      </c>
      <c r="CA154" t="str">
        <f>IF(AND(BW154&lt;&gt;"",LEFT(BW154,1)&lt;&gt;"#"),IF(LEFT(BW154,1)="-",REPLACE(BW154,1,1,tech!$H$2),BW154),"")</f>
        <v/>
      </c>
      <c r="CB154" t="s">
        <v>495</v>
      </c>
      <c r="CC154" s="492"/>
      <c r="CD154" t="str">
        <f t="shared" si="187"/>
        <v>Resources are periodically reviewed</v>
      </c>
      <c r="CE154" t="str">
        <f t="shared" si="204"/>
        <v>References</v>
      </c>
      <c r="CF154" t="str">
        <f t="shared" si="219"/>
        <v>4.1.4.RX</v>
      </c>
      <c r="CG154" t="str">
        <f>IF(AND(CC154&lt;&gt;"",LEFT(CC154,1)&lt;&gt;"#"),IF(LEFT(CC154,1)="-",REPLACE(CC154,1,1,tech!$H$2),CC154),"")</f>
        <v/>
      </c>
      <c r="CH154" t="s">
        <v>495</v>
      </c>
      <c r="CI154" s="492"/>
      <c r="CJ154" t="str">
        <f t="shared" si="188"/>
        <v>Periodically review knowledge</v>
      </c>
      <c r="CK154" t="str">
        <f t="shared" si="205"/>
        <v>Assessment</v>
      </c>
      <c r="CL154" t="str">
        <f t="shared" si="220"/>
        <v>4.2.5.AX</v>
      </c>
      <c r="CM154" t="str">
        <f>IF(AND(CI154&lt;&gt;"",LEFT(CI154,1)&lt;&gt;"#"),IF(LEFT(CI154,1)="-",REPLACE(CI154,1,1,tech!$H$2),CI154),"")</f>
        <v/>
      </c>
      <c r="CN154" t="s">
        <v>495</v>
      </c>
      <c r="CO154" s="492"/>
      <c r="CP154" t="str">
        <f t="shared" si="189"/>
        <v>Timely communication of important information</v>
      </c>
      <c r="CQ154" t="str">
        <f t="shared" si="206"/>
        <v>References</v>
      </c>
      <c r="CR154" t="str">
        <f t="shared" si="221"/>
        <v>4.3.4.RX</v>
      </c>
      <c r="CS154" t="str">
        <f>IF(AND(CO154&lt;&gt;"",LEFT(CO154,1)&lt;&gt;"#"),IF(LEFT(CO154,1)="-",REPLACE(CO154,1,1,tech!$H$2),CO154),"")</f>
        <v/>
      </c>
      <c r="CT154" t="s">
        <v>495</v>
      </c>
    </row>
    <row r="155" spans="3:98" x14ac:dyDescent="0.25">
      <c r="O155" s="492"/>
      <c r="P155" t="str">
        <f t="shared" si="222"/>
        <v>Policies are periodically reviewed and updated</v>
      </c>
      <c r="Q155" t="str">
        <f t="shared" si="223"/>
        <v>References</v>
      </c>
      <c r="R155" t="str">
        <f t="shared" si="224"/>
        <v>1.2.5.RX</v>
      </c>
      <c r="S155" t="str">
        <f>IF(AND(O155&lt;&gt;"",LEFT(O155,1)&lt;&gt;"#"),IF(LEFT(O155,1)="-",REPLACE(O155,1,1,tech!$H$2),O155),"")</f>
        <v/>
      </c>
      <c r="T155" t="s">
        <v>495</v>
      </c>
      <c r="U155" s="492"/>
      <c r="V155" t="str">
        <f t="shared" si="225"/>
        <v>List of relevant laws, regulations, and standards, exist and is maintained</v>
      </c>
      <c r="W155" t="str">
        <f t="shared" si="226"/>
        <v>References</v>
      </c>
      <c r="X155" t="str">
        <f t="shared" si="227"/>
        <v>1.3.4.RX</v>
      </c>
      <c r="Y155" t="str">
        <f>IF(AND(U155&lt;&gt;"",LEFT(U155,1)&lt;&gt;"#"),IF(LEFT(U155,1)="-",REPLACE(U155,1,1,tech!$H$2),U155),"")</f>
        <v/>
      </c>
      <c r="Z155" t="s">
        <v>495</v>
      </c>
      <c r="AA155" s="492"/>
      <c r="AB155" t="str">
        <f t="shared" si="228"/>
        <v>Processes and procedures are reviewed and updated</v>
      </c>
      <c r="AC155" t="str">
        <f t="shared" si="229"/>
        <v>References</v>
      </c>
      <c r="AD155" t="str">
        <f t="shared" si="230"/>
        <v>1.4.5.RX</v>
      </c>
      <c r="AE155" t="str">
        <f>IF(AND(AA155&lt;&gt;"",LEFT(AA155,1)&lt;&gt;"#"),IF(LEFT(AA155,1)="-",REPLACE(AA155,1,1,tech!$H$2),AA155),"")</f>
        <v/>
      </c>
      <c r="AF155" t="s">
        <v>495</v>
      </c>
      <c r="AG155" s="492" t="s">
        <v>767</v>
      </c>
      <c r="AH155" t="str">
        <f t="shared" si="231"/>
        <v>Key management is periodically reviewed and updated</v>
      </c>
      <c r="AI155" t="str">
        <f t="shared" si="232"/>
        <v>Assessment</v>
      </c>
      <c r="AJ155" t="str">
        <f t="shared" si="233"/>
        <v>2.1.6.AY</v>
      </c>
      <c r="AK155" t="str">
        <f>IF(AND(AG155&lt;&gt;"",LEFT(AG155,1)&lt;&gt;"#"),IF(LEFT(AG155,1)="-",REPLACE(AG155,1,1,tech!$H$2),AG155),"")</f>
        <v>• Risk management and Review frequency</v>
      </c>
      <c r="AL155" t="s">
        <v>495</v>
      </c>
      <c r="AM155" s="492" t="s">
        <v>885</v>
      </c>
      <c r="AN155" t="str">
        <f t="shared" si="180"/>
        <v>Certificate discovery process is documented</v>
      </c>
      <c r="AO155" t="str">
        <f t="shared" si="197"/>
        <v>Guidance</v>
      </c>
      <c r="AP155" t="str">
        <f t="shared" si="212"/>
        <v>2.2.5.GY</v>
      </c>
      <c r="AQ155" t="str">
        <f>IF(AND(AM155&lt;&gt;"",LEFT(AM155,1)&lt;&gt;"#"),IF(LEFT(AM155,1)="-",REPLACE(AM155,1,1,tech!$H$2),AM155),"")</f>
        <v>• search for the certificates on file system to discover unauthorized or unsecured certificates</v>
      </c>
      <c r="AR155" t="s">
        <v>495</v>
      </c>
      <c r="AS155" s="492"/>
      <c r="AT155" t="str">
        <f t="shared" si="181"/>
        <v>Infrastructure activities are periodically reviewed</v>
      </c>
      <c r="AU155" t="str">
        <f t="shared" si="198"/>
        <v>References</v>
      </c>
      <c r="AV155" t="str">
        <f t="shared" si="213"/>
        <v>2.3.5.RX</v>
      </c>
      <c r="AW155" t="str">
        <f>IF(AND(AS155&lt;&gt;"",LEFT(AS155,1)&lt;&gt;"#"),IF(LEFT(AS155,1)="-",REPLACE(AS155,1,1,tech!$H$2),AS155),"")</f>
        <v/>
      </c>
      <c r="AX155" t="s">
        <v>495</v>
      </c>
      <c r="AY155" s="492"/>
      <c r="AZ155" t="str">
        <f t="shared" si="182"/>
        <v>Change management and agility is periodically reviewed</v>
      </c>
      <c r="BA155" t="str">
        <f t="shared" si="199"/>
        <v>References</v>
      </c>
      <c r="BB155" t="str">
        <f t="shared" si="214"/>
        <v>2.4.5.RX</v>
      </c>
      <c r="BC155" t="str">
        <f>IF(AND(AY155&lt;&gt;"",LEFT(AY155,1)&lt;&gt;"#"),IF(LEFT(AY155,1)="-",REPLACE(AY155,1,1,tech!$H$2),AY155),"")</f>
        <v/>
      </c>
      <c r="BD155" t="s">
        <v>495</v>
      </c>
      <c r="BE155" s="492" t="s">
        <v>498</v>
      </c>
      <c r="BF155" t="str">
        <f t="shared" si="183"/>
        <v>Continual review and improvement</v>
      </c>
      <c r="BG155" t="str">
        <f t="shared" si="200"/>
        <v>Guidance</v>
      </c>
      <c r="BH155" t="str">
        <f t="shared" si="215"/>
        <v>3.1.6.GX</v>
      </c>
      <c r="BI155" t="str">
        <f>IF(AND(BE155&lt;&gt;"",LEFT(BE155,1)&lt;&gt;"#"),IF(LEFT(BE155,1)="-",REPLACE(BE155,1,1,tech!$H$2),BE155),"")</f>
        <v/>
      </c>
      <c r="BJ155" t="s">
        <v>495</v>
      </c>
      <c r="BK155" s="492"/>
      <c r="BL155" t="str">
        <f t="shared" si="184"/>
        <v>Adoption and application of open standards</v>
      </c>
      <c r="BM155" t="str">
        <f t="shared" si="201"/>
        <v>References</v>
      </c>
      <c r="BN155" t="str">
        <f t="shared" si="216"/>
        <v>3.2.3.RX</v>
      </c>
      <c r="BO155" t="str">
        <f>IF(AND(BK155&lt;&gt;"",LEFT(BK155,1)&lt;&gt;"#"),IF(LEFT(BK155,1)="-",REPLACE(BK155,1,1,tech!$H$2),BK155),"")</f>
        <v/>
      </c>
      <c r="BP155" t="s">
        <v>495</v>
      </c>
      <c r="BQ155" s="492"/>
      <c r="BR155" t="str">
        <f t="shared" si="185"/>
        <v>Review of events and logs is periodically performed</v>
      </c>
      <c r="BS155" t="str">
        <f t="shared" si="202"/>
        <v>Guidance</v>
      </c>
      <c r="BT155" t="str">
        <f t="shared" si="217"/>
        <v>3.3.6.GY</v>
      </c>
      <c r="BU155" t="str">
        <f>IF(AND(BQ155&lt;&gt;"",LEFT(BQ155,1)&lt;&gt;"#"),IF(LEFT(BQ155,1)="-",REPLACE(BQ155,1,1,tech!$H$2),BQ155),"")</f>
        <v/>
      </c>
      <c r="BV155" t="s">
        <v>495</v>
      </c>
      <c r="BW155" s="492"/>
      <c r="BX155" t="str">
        <f t="shared" si="186"/>
        <v>Incidents and exceptions handling</v>
      </c>
      <c r="BY155" t="str">
        <f t="shared" si="203"/>
        <v>References</v>
      </c>
      <c r="BZ155" t="str">
        <f t="shared" si="218"/>
        <v>3.4.3.RX</v>
      </c>
      <c r="CA155" t="str">
        <f>IF(AND(BW155&lt;&gt;"",LEFT(BW155,1)&lt;&gt;"#"),IF(LEFT(BW155,1)="-",REPLACE(BW155,1,1,tech!$H$2),BW155),"")</f>
        <v/>
      </c>
      <c r="CB155" t="s">
        <v>495</v>
      </c>
      <c r="CC155" s="492"/>
      <c r="CD155" t="str">
        <f t="shared" si="187"/>
        <v>Resources are periodically reviewed</v>
      </c>
      <c r="CE155" t="str">
        <f t="shared" si="204"/>
        <v>References</v>
      </c>
      <c r="CF155" t="str">
        <f t="shared" si="219"/>
        <v>4.1.4.RX</v>
      </c>
      <c r="CG155" t="str">
        <f>IF(AND(CC155&lt;&gt;"",LEFT(CC155,1)&lt;&gt;"#"),IF(LEFT(CC155,1)="-",REPLACE(CC155,1,1,tech!$H$2),CC155),"")</f>
        <v/>
      </c>
      <c r="CH155" t="s">
        <v>495</v>
      </c>
      <c r="CI155" s="492" t="s">
        <v>503</v>
      </c>
      <c r="CJ155" t="str">
        <f t="shared" si="188"/>
        <v>Periodically review knowledge</v>
      </c>
      <c r="CK155" t="str">
        <f t="shared" si="205"/>
        <v>References</v>
      </c>
      <c r="CL155" t="str">
        <f t="shared" si="220"/>
        <v>4.2.5.RX</v>
      </c>
      <c r="CM155" t="str">
        <f>IF(AND(CI155&lt;&gt;"",LEFT(CI155,1)&lt;&gt;"#"),IF(LEFT(CI155,1)="-",REPLACE(CI155,1,1,tech!$H$2),CI155),"")</f>
        <v/>
      </c>
      <c r="CN155" t="s">
        <v>495</v>
      </c>
      <c r="CO155" s="492"/>
      <c r="CP155" t="str">
        <f t="shared" si="189"/>
        <v>Timely communication of important information</v>
      </c>
      <c r="CQ155" t="str">
        <f t="shared" si="206"/>
        <v>References</v>
      </c>
      <c r="CR155" t="str">
        <f t="shared" si="221"/>
        <v>4.3.4.RX</v>
      </c>
      <c r="CS155" t="str">
        <f>IF(AND(CO155&lt;&gt;"",LEFT(CO155,1)&lt;&gt;"#"),IF(LEFT(CO155,1)="-",REPLACE(CO155,1,1,tech!$H$2),CO155),"")</f>
        <v/>
      </c>
      <c r="CT155" t="s">
        <v>495</v>
      </c>
    </row>
    <row r="156" spans="3:98" x14ac:dyDescent="0.25">
      <c r="O156" s="492"/>
      <c r="P156" t="str">
        <f t="shared" si="222"/>
        <v>Policies are periodically reviewed and updated</v>
      </c>
      <c r="Q156" t="str">
        <f t="shared" si="223"/>
        <v>References</v>
      </c>
      <c r="R156" t="str">
        <f t="shared" si="224"/>
        <v>1.2.5.RX</v>
      </c>
      <c r="S156" t="str">
        <f>IF(AND(O156&lt;&gt;"",LEFT(O156,1)&lt;&gt;"#"),IF(LEFT(O156,1)="-",REPLACE(O156,1,1,tech!$H$2),O156),"")</f>
        <v/>
      </c>
      <c r="T156" t="s">
        <v>495</v>
      </c>
      <c r="U156" s="492"/>
      <c r="V156" t="str">
        <f t="shared" si="225"/>
        <v>List of relevant laws, regulations, and standards, exist and is maintained</v>
      </c>
      <c r="W156" t="str">
        <f t="shared" si="226"/>
        <v>References</v>
      </c>
      <c r="X156" t="str">
        <f t="shared" si="227"/>
        <v>1.3.4.RX</v>
      </c>
      <c r="Y156" t="str">
        <f>IF(AND(U156&lt;&gt;"",LEFT(U156,1)&lt;&gt;"#"),IF(LEFT(U156,1)="-",REPLACE(U156,1,1,tech!$H$2),U156),"")</f>
        <v/>
      </c>
      <c r="Z156" t="s">
        <v>495</v>
      </c>
      <c r="AA156" s="492"/>
      <c r="AB156" t="str">
        <f t="shared" si="228"/>
        <v>Processes and procedures are reviewed and updated</v>
      </c>
      <c r="AC156" t="str">
        <f t="shared" si="229"/>
        <v>References</v>
      </c>
      <c r="AD156" t="str">
        <f t="shared" si="230"/>
        <v>1.4.5.RX</v>
      </c>
      <c r="AE156" t="str">
        <f>IF(AND(AA156&lt;&gt;"",LEFT(AA156,1)&lt;&gt;"#"),IF(LEFT(AA156,1)="-",REPLACE(AA156,1,1,tech!$H$2),AA156),"")</f>
        <v/>
      </c>
      <c r="AF156" t="s">
        <v>495</v>
      </c>
      <c r="AG156" s="492" t="s">
        <v>768</v>
      </c>
      <c r="AH156" t="str">
        <f t="shared" si="231"/>
        <v>Key management is periodically reviewed and updated</v>
      </c>
      <c r="AI156" t="str">
        <f t="shared" si="232"/>
        <v>Assessment</v>
      </c>
      <c r="AJ156" t="str">
        <f t="shared" si="233"/>
        <v>2.1.6.AY</v>
      </c>
      <c r="AK156" t="str">
        <f>IF(AND(AG156&lt;&gt;"",LEFT(AG156,1)&lt;&gt;"#"),IF(LEFT(AG156,1)="-",REPLACE(AG156,1,1,tech!$H$2),AG156),"")</f>
        <v>• implementation of Review process</v>
      </c>
      <c r="AL156" t="s">
        <v>495</v>
      </c>
      <c r="AM156" s="492"/>
      <c r="AN156" t="str">
        <f t="shared" si="180"/>
        <v>Certificate discovery process is documented</v>
      </c>
      <c r="AO156" t="str">
        <f t="shared" si="197"/>
        <v>Guidance</v>
      </c>
      <c r="AP156" t="str">
        <f t="shared" si="212"/>
        <v>2.2.5.GY</v>
      </c>
      <c r="AQ156" t="str">
        <f>IF(AND(AM156&lt;&gt;"",LEFT(AM156,1)&lt;&gt;"#"),IF(LEFT(AM156,1)="-",REPLACE(AM156,1,1,tech!$H$2),AM156),"")</f>
        <v/>
      </c>
      <c r="AR156" t="s">
        <v>495</v>
      </c>
      <c r="AS156" s="492"/>
      <c r="AT156" t="str">
        <f t="shared" si="181"/>
        <v>Infrastructure activities are periodically reviewed</v>
      </c>
      <c r="AU156" t="str">
        <f t="shared" si="198"/>
        <v>References</v>
      </c>
      <c r="AV156" t="str">
        <f t="shared" si="213"/>
        <v>2.3.5.RX</v>
      </c>
      <c r="AW156" t="str">
        <f>IF(AND(AS156&lt;&gt;"",LEFT(AS156,1)&lt;&gt;"#"),IF(LEFT(AS156,1)="-",REPLACE(AS156,1,1,tech!$H$2),AS156),"")</f>
        <v/>
      </c>
      <c r="AX156" t="s">
        <v>495</v>
      </c>
      <c r="AY156" s="492"/>
      <c r="AZ156" t="str">
        <f t="shared" si="182"/>
        <v>Change management and agility is periodically reviewed</v>
      </c>
      <c r="BA156" t="str">
        <f t="shared" si="199"/>
        <v>References</v>
      </c>
      <c r="BB156" t="str">
        <f t="shared" si="214"/>
        <v>2.4.5.RX</v>
      </c>
      <c r="BC156" t="str">
        <f>IF(AND(AY156&lt;&gt;"",LEFT(AY156,1)&lt;&gt;"#"),IF(LEFT(AY156,1)="-",REPLACE(AY156,1,1,tech!$H$2),AY156),"")</f>
        <v/>
      </c>
      <c r="BD156" t="s">
        <v>495</v>
      </c>
      <c r="BE156" s="492"/>
      <c r="BF156" t="str">
        <f t="shared" si="183"/>
        <v>Continual review and improvement</v>
      </c>
      <c r="BG156" t="str">
        <f t="shared" si="200"/>
        <v>Guidance</v>
      </c>
      <c r="BH156" t="str">
        <f t="shared" si="215"/>
        <v>3.1.6.GX</v>
      </c>
      <c r="BI156" t="str">
        <f>IF(AND(BE156&lt;&gt;"",LEFT(BE156,1)&lt;&gt;"#"),IF(LEFT(BE156,1)="-",REPLACE(BE156,1,1,tech!$H$2),BE156),"")</f>
        <v/>
      </c>
      <c r="BJ156" t="s">
        <v>495</v>
      </c>
      <c r="BK156" s="492"/>
      <c r="BL156" t="str">
        <f t="shared" si="184"/>
        <v>Adoption and application of open standards</v>
      </c>
      <c r="BM156" t="str">
        <f t="shared" si="201"/>
        <v>References</v>
      </c>
      <c r="BN156" t="str">
        <f t="shared" si="216"/>
        <v>3.2.3.RX</v>
      </c>
      <c r="BO156" t="str">
        <f>IF(AND(BK156&lt;&gt;"",LEFT(BK156,1)&lt;&gt;"#"),IF(LEFT(BK156,1)="-",REPLACE(BK156,1,1,tech!$H$2),BK156),"")</f>
        <v/>
      </c>
      <c r="BP156" t="s">
        <v>495</v>
      </c>
      <c r="BQ156" s="492" t="s">
        <v>1169</v>
      </c>
      <c r="BR156" t="str">
        <f t="shared" si="185"/>
        <v>Review of events and logs is periodically performed</v>
      </c>
      <c r="BS156" t="str">
        <f t="shared" si="202"/>
        <v>Guidance</v>
      </c>
      <c r="BT156" t="str">
        <f t="shared" si="217"/>
        <v>3.3.6.GY</v>
      </c>
      <c r="BU156" t="str">
        <f>IF(AND(BQ156&lt;&gt;"",LEFT(BQ156,1)&lt;&gt;"#"),IF(LEFT(BQ156,1)="-",REPLACE(BQ156,1,1,tech!$H$2),BQ156),"")</f>
        <v>The review of logs and events should be performed periodically and the frequency should be based on the risk assessment. Any potential issues should be reported and resolved according to the incident response plans.</v>
      </c>
      <c r="BV156" t="s">
        <v>495</v>
      </c>
      <c r="BW156" s="492"/>
      <c r="BX156" t="str">
        <f t="shared" si="186"/>
        <v>Incidents and exceptions handling</v>
      </c>
      <c r="BY156" t="str">
        <f t="shared" si="203"/>
        <v>References</v>
      </c>
      <c r="BZ156" t="str">
        <f t="shared" si="218"/>
        <v>3.4.3.RX</v>
      </c>
      <c r="CA156" t="str">
        <f>IF(AND(BW156&lt;&gt;"",LEFT(BW156,1)&lt;&gt;"#"),IF(LEFT(BW156,1)="-",REPLACE(BW156,1,1,tech!$H$2),BW156),"")</f>
        <v/>
      </c>
      <c r="CB156" t="s">
        <v>495</v>
      </c>
      <c r="CC156" s="492"/>
      <c r="CD156" t="str">
        <f t="shared" si="187"/>
        <v>Resources are periodically reviewed</v>
      </c>
      <c r="CE156" t="str">
        <f t="shared" si="204"/>
        <v>References</v>
      </c>
      <c r="CF156" t="str">
        <f t="shared" si="219"/>
        <v>4.1.4.RX</v>
      </c>
      <c r="CG156" t="str">
        <f>IF(AND(CC156&lt;&gt;"",LEFT(CC156,1)&lt;&gt;"#"),IF(LEFT(CC156,1)="-",REPLACE(CC156,1,1,tech!$H$2),CC156),"")</f>
        <v/>
      </c>
      <c r="CH156" t="s">
        <v>495</v>
      </c>
      <c r="CI156" s="492"/>
      <c r="CJ156" t="str">
        <f t="shared" si="188"/>
        <v>Periodically review knowledge</v>
      </c>
      <c r="CK156" t="str">
        <f t="shared" si="205"/>
        <v>References</v>
      </c>
      <c r="CL156" t="str">
        <f t="shared" si="220"/>
        <v>4.2.5.RX</v>
      </c>
      <c r="CM156" t="str">
        <f>IF(AND(CI156&lt;&gt;"",LEFT(CI156,1)&lt;&gt;"#"),IF(LEFT(CI156,1)="-",REPLACE(CI156,1,1,tech!$H$2),CI156),"")</f>
        <v/>
      </c>
      <c r="CN156" t="s">
        <v>495</v>
      </c>
      <c r="CO156" s="492"/>
      <c r="CP156" t="str">
        <f t="shared" si="189"/>
        <v>Timely communication of important information</v>
      </c>
      <c r="CQ156" t="str">
        <f t="shared" si="206"/>
        <v>References</v>
      </c>
      <c r="CR156" t="str">
        <f t="shared" si="221"/>
        <v>4.3.4.RX</v>
      </c>
      <c r="CS156" t="str">
        <f>IF(AND(CO156&lt;&gt;"",LEFT(CO156,1)&lt;&gt;"#"),IF(LEFT(CO156,1)="-",REPLACE(CO156,1,1,tech!$H$2),CO156),"")</f>
        <v/>
      </c>
      <c r="CT156" t="s">
        <v>495</v>
      </c>
    </row>
    <row r="157" spans="3:98" x14ac:dyDescent="0.25">
      <c r="O157" s="492"/>
      <c r="P157" t="str">
        <f t="shared" si="222"/>
        <v>Policies are periodically reviewed and updated</v>
      </c>
      <c r="Q157" t="str">
        <f t="shared" si="223"/>
        <v>References</v>
      </c>
      <c r="R157" t="str">
        <f t="shared" si="224"/>
        <v>1.2.5.RX</v>
      </c>
      <c r="S157" t="str">
        <f>IF(AND(O157&lt;&gt;"",LEFT(O157,1)&lt;&gt;"#"),IF(LEFT(O157,1)="-",REPLACE(O157,1,1,tech!$H$2),O157),"")</f>
        <v/>
      </c>
      <c r="T157" t="s">
        <v>495</v>
      </c>
      <c r="U157" s="492"/>
      <c r="V157" t="str">
        <f t="shared" si="225"/>
        <v>List of relevant laws, regulations, and standards, exist and is maintained</v>
      </c>
      <c r="W157" t="str">
        <f t="shared" si="226"/>
        <v>References</v>
      </c>
      <c r="X157" t="str">
        <f t="shared" si="227"/>
        <v>1.3.4.RX</v>
      </c>
      <c r="Y157" t="str">
        <f>IF(AND(U157&lt;&gt;"",LEFT(U157,1)&lt;&gt;"#"),IF(LEFT(U157,1)="-",REPLACE(U157,1,1,tech!$H$2),U157),"")</f>
        <v/>
      </c>
      <c r="Z157" t="s">
        <v>495</v>
      </c>
      <c r="AA157" s="492"/>
      <c r="AB157" t="str">
        <f t="shared" si="228"/>
        <v>Processes and procedures are reviewed and updated</v>
      </c>
      <c r="AC157" t="str">
        <f t="shared" si="229"/>
        <v>References</v>
      </c>
      <c r="AD157" t="str">
        <f t="shared" si="230"/>
        <v>1.4.5.RX</v>
      </c>
      <c r="AE157" t="str">
        <f>IF(AND(AA157&lt;&gt;"",LEFT(AA157,1)&lt;&gt;"#"),IF(LEFT(AA157,1)="-",REPLACE(AA157,1,1,tech!$H$2),AA157),"")</f>
        <v/>
      </c>
      <c r="AF157" t="s">
        <v>495</v>
      </c>
      <c r="AG157" s="492" t="s">
        <v>598</v>
      </c>
      <c r="AH157" t="str">
        <f t="shared" si="231"/>
        <v>Key management is periodically reviewed and updated</v>
      </c>
      <c r="AI157" t="str">
        <f t="shared" si="232"/>
        <v>Assessment</v>
      </c>
      <c r="AJ157" t="str">
        <f t="shared" si="233"/>
        <v>2.1.6.AY</v>
      </c>
      <c r="AK157" t="str">
        <f>IF(AND(AG157&lt;&gt;"",LEFT(AG157,1)&lt;&gt;"#"),IF(LEFT(AG157,1)="-",REPLACE(AG157,1,1,tech!$H$2),AG157),"")</f>
        <v>• Validation of documentation and reviews</v>
      </c>
      <c r="AL157" t="s">
        <v>495</v>
      </c>
      <c r="AM157" s="492" t="s">
        <v>860</v>
      </c>
      <c r="AN157" t="str">
        <f t="shared" si="180"/>
        <v>Certificate discovery process is documented</v>
      </c>
      <c r="AO157" t="str">
        <f t="shared" si="197"/>
        <v>Guidance</v>
      </c>
      <c r="AP157" t="str">
        <f t="shared" si="212"/>
        <v>2.2.5.GY</v>
      </c>
      <c r="AQ157" t="str">
        <f>IF(AND(AM157&lt;&gt;"",LEFT(AM157,1)&lt;&gt;"#"),IF(LEFT(AM157,1)="-",REPLACE(AM157,1,1,tech!$H$2),AM157),"")</f>
        <v>Discovery process should be run frequently on the specified locations and the certificate inventory should be updated based on the results of the certificate discovery to keep it current.</v>
      </c>
      <c r="AR157" t="s">
        <v>495</v>
      </c>
      <c r="AS157" s="492"/>
      <c r="AT157" t="str">
        <f t="shared" si="181"/>
        <v>Infrastructure activities are periodically reviewed</v>
      </c>
      <c r="AU157" t="str">
        <f t="shared" si="198"/>
        <v>References</v>
      </c>
      <c r="AV157" t="str">
        <f t="shared" si="213"/>
        <v>2.3.5.RX</v>
      </c>
      <c r="AW157" t="str">
        <f>IF(AND(AS157&lt;&gt;"",LEFT(AS157,1)&lt;&gt;"#"),IF(LEFT(AS157,1)="-",REPLACE(AS157,1,1,tech!$H$2),AS157),"")</f>
        <v/>
      </c>
      <c r="AX157" t="s">
        <v>495</v>
      </c>
      <c r="AY157" s="492"/>
      <c r="AZ157" t="str">
        <f t="shared" si="182"/>
        <v>Change management and agility is periodically reviewed</v>
      </c>
      <c r="BA157" t="str">
        <f t="shared" si="199"/>
        <v>References</v>
      </c>
      <c r="BB157" t="str">
        <f t="shared" si="214"/>
        <v>2.4.5.RX</v>
      </c>
      <c r="BC157" t="str">
        <f>IF(AND(AY157&lt;&gt;"",LEFT(AY157,1)&lt;&gt;"#"),IF(LEFT(AY157,1)="-",REPLACE(AY157,1,1,tech!$H$2),AY157),"")</f>
        <v/>
      </c>
      <c r="BD157" t="s">
        <v>495</v>
      </c>
      <c r="BE157" s="492" t="s">
        <v>6</v>
      </c>
      <c r="BF157" t="str">
        <f t="shared" si="183"/>
        <v>Continual review and improvement</v>
      </c>
      <c r="BG157" t="str">
        <f t="shared" si="200"/>
        <v>Guidance</v>
      </c>
      <c r="BH157" t="str">
        <f t="shared" si="215"/>
        <v>3.1.6.GY</v>
      </c>
      <c r="BI157" t="str">
        <f>IF(AND(BE157&lt;&gt;"",LEFT(BE157,1)&lt;&gt;"#"),IF(LEFT(BE157,1)="-",REPLACE(BE157,1,1,tech!$H$2),BE157),"")</f>
        <v>The resilience of the PKI implementation should be reviewed and improved regularly. The review and improvement process should be documented and the results should be used to improve the resilience of the PKI implementation. The frequency of review should be based on the organizational risks and needs to be protected against current and future trends.</v>
      </c>
      <c r="BJ157" t="s">
        <v>495</v>
      </c>
      <c r="BK157" s="492"/>
      <c r="BL157" t="str">
        <f t="shared" si="184"/>
        <v>Adoption and application of open standards</v>
      </c>
      <c r="BM157" t="str">
        <f t="shared" si="201"/>
        <v>References</v>
      </c>
      <c r="BN157" t="str">
        <f t="shared" si="216"/>
        <v>3.2.3.RX</v>
      </c>
      <c r="BO157" t="str">
        <f>IF(AND(BK157&lt;&gt;"",LEFT(BK157,1)&lt;&gt;"#"),IF(LEFT(BK157,1)="-",REPLACE(BK157,1,1,tech!$H$2),BK157),"")</f>
        <v/>
      </c>
      <c r="BP157" t="s">
        <v>495</v>
      </c>
      <c r="BQ157" s="492"/>
      <c r="BR157" t="str">
        <f t="shared" si="185"/>
        <v>Review of events and logs is periodically performed</v>
      </c>
      <c r="BS157" t="str">
        <f t="shared" si="202"/>
        <v>Guidance</v>
      </c>
      <c r="BT157" t="str">
        <f t="shared" si="217"/>
        <v>3.3.6.GX</v>
      </c>
      <c r="BU157" t="str">
        <f>IF(AND(BQ157&lt;&gt;"",LEFT(BQ157,1)&lt;&gt;"#"),IF(LEFT(BQ157,1)="-",REPLACE(BQ157,1,1,tech!$H$2),BQ157),"")</f>
        <v/>
      </c>
      <c r="BV157" t="s">
        <v>495</v>
      </c>
      <c r="BW157" s="492"/>
      <c r="BX157" t="str">
        <f t="shared" si="186"/>
        <v>Incidents and exceptions handling</v>
      </c>
      <c r="BY157" t="str">
        <f t="shared" si="203"/>
        <v>References</v>
      </c>
      <c r="BZ157" t="str">
        <f t="shared" si="218"/>
        <v>3.4.3.RX</v>
      </c>
      <c r="CA157" t="str">
        <f>IF(AND(BW157&lt;&gt;"",LEFT(BW157,1)&lt;&gt;"#"),IF(LEFT(BW157,1)="-",REPLACE(BW157,1,1,tech!$H$2),BW157),"")</f>
        <v/>
      </c>
      <c r="CB157" t="s">
        <v>495</v>
      </c>
      <c r="CC157" s="492"/>
      <c r="CD157" t="str">
        <f t="shared" si="187"/>
        <v>Resources are periodically reviewed</v>
      </c>
      <c r="CE157" t="str">
        <f t="shared" si="204"/>
        <v>References</v>
      </c>
      <c r="CF157" t="str">
        <f t="shared" si="219"/>
        <v>4.1.4.RX</v>
      </c>
      <c r="CG157" t="str">
        <f>IF(AND(CC157&lt;&gt;"",LEFT(CC157,1)&lt;&gt;"#"),IF(LEFT(CC157,1)="-",REPLACE(CC157,1,1,tech!$H$2),CC157),"")</f>
        <v/>
      </c>
      <c r="CH157" t="s">
        <v>495</v>
      </c>
      <c r="CI157" s="492" t="s">
        <v>1294</v>
      </c>
      <c r="CJ157" t="str">
        <f t="shared" si="188"/>
        <v>Periodically review knowledge</v>
      </c>
      <c r="CK157" t="str">
        <f t="shared" si="205"/>
        <v>References</v>
      </c>
      <c r="CL157" t="str">
        <f t="shared" si="220"/>
        <v>4.2.5.RY</v>
      </c>
      <c r="CM157" t="str">
        <f>IF(AND(CI157&lt;&gt;"",LEFT(CI157,1)&lt;&gt;"#"),IF(LEFT(CI157,1)="-",REPLACE(CI157,1,1,tech!$H$2),CI157),"")</f>
        <v>• [NIST SP 800-16 Information Technology Security Training Requirements: a Role- and Performance-Based Model](https://csrc.nist.gov/publications/detail/sp/800-16/final)</v>
      </c>
      <c r="CN157" t="s">
        <v>495</v>
      </c>
      <c r="CO157" s="492"/>
      <c r="CP157" t="str">
        <f t="shared" si="189"/>
        <v>Timely communication of important information</v>
      </c>
      <c r="CQ157" t="str">
        <f t="shared" si="206"/>
        <v>References</v>
      </c>
      <c r="CR157" t="str">
        <f t="shared" si="221"/>
        <v>4.3.4.RX</v>
      </c>
      <c r="CS157" t="str">
        <f>IF(AND(CO157&lt;&gt;"",LEFT(CO157,1)&lt;&gt;"#"),IF(LEFT(CO157,1)="-",REPLACE(CO157,1,1,tech!$H$2),CO157),"")</f>
        <v/>
      </c>
      <c r="CT157" t="s">
        <v>495</v>
      </c>
    </row>
    <row r="158" spans="3:98" x14ac:dyDescent="0.25">
      <c r="O158" s="492"/>
      <c r="P158" t="str">
        <f t="shared" si="222"/>
        <v>Policies are periodically reviewed and updated</v>
      </c>
      <c r="Q158" t="str">
        <f t="shared" si="223"/>
        <v>References</v>
      </c>
      <c r="R158" t="str">
        <f t="shared" si="224"/>
        <v>1.2.5.RX</v>
      </c>
      <c r="S158" t="str">
        <f>IF(AND(O158&lt;&gt;"",LEFT(O158,1)&lt;&gt;"#"),IF(LEFT(O158,1)="-",REPLACE(O158,1,1,tech!$H$2),O158),"")</f>
        <v/>
      </c>
      <c r="T158" t="s">
        <v>495</v>
      </c>
      <c r="U158" s="492"/>
      <c r="V158" t="str">
        <f t="shared" si="225"/>
        <v>List of relevant laws, regulations, and standards, exist and is maintained</v>
      </c>
      <c r="W158" t="str">
        <f t="shared" si="226"/>
        <v>References</v>
      </c>
      <c r="X158" t="str">
        <f t="shared" si="227"/>
        <v>1.3.4.RX</v>
      </c>
      <c r="Y158" t="str">
        <f>IF(AND(U158&lt;&gt;"",LEFT(U158,1)&lt;&gt;"#"),IF(LEFT(U158,1)="-",REPLACE(U158,1,1,tech!$H$2),U158),"")</f>
        <v/>
      </c>
      <c r="Z158" t="s">
        <v>495</v>
      </c>
      <c r="AA158" s="492"/>
      <c r="AB158" t="str">
        <f t="shared" si="228"/>
        <v>Processes and procedures are reviewed and updated</v>
      </c>
      <c r="AC158" t="str">
        <f t="shared" si="229"/>
        <v>References</v>
      </c>
      <c r="AD158" t="str">
        <f t="shared" si="230"/>
        <v>1.4.5.RX</v>
      </c>
      <c r="AE158" t="str">
        <f>IF(AND(AA158&lt;&gt;"",LEFT(AA158,1)&lt;&gt;"#"),IF(LEFT(AA158,1)="-",REPLACE(AA158,1,1,tech!$H$2),AA158),"")</f>
        <v/>
      </c>
      <c r="AF158" t="s">
        <v>495</v>
      </c>
      <c r="AG158" s="492"/>
      <c r="AH158" t="str">
        <f t="shared" si="231"/>
        <v>Key management is periodically reviewed and updated</v>
      </c>
      <c r="AI158" t="str">
        <f t="shared" si="232"/>
        <v>Assessment</v>
      </c>
      <c r="AJ158" t="str">
        <f t="shared" si="233"/>
        <v>2.1.6.AX</v>
      </c>
      <c r="AK158" t="str">
        <f>IF(AND(AG158&lt;&gt;"",LEFT(AG158,1)&lt;&gt;"#"),IF(LEFT(AG158,1)="-",REPLACE(AG158,1,1,tech!$H$2),AG158),"")</f>
        <v/>
      </c>
      <c r="AL158" t="s">
        <v>495</v>
      </c>
      <c r="AM158" s="492"/>
      <c r="AN158" t="str">
        <f t="shared" si="180"/>
        <v>Certificate discovery process is documented</v>
      </c>
      <c r="AO158" t="str">
        <f t="shared" si="197"/>
        <v>Guidance</v>
      </c>
      <c r="AP158" t="str">
        <f t="shared" si="212"/>
        <v>2.2.5.GX</v>
      </c>
      <c r="AQ158" t="str">
        <f>IF(AND(AM158&lt;&gt;"",LEFT(AM158,1)&lt;&gt;"#"),IF(LEFT(AM158,1)="-",REPLACE(AM158,1,1,tech!$H$2),AM158),"")</f>
        <v/>
      </c>
      <c r="AR158" t="s">
        <v>495</v>
      </c>
      <c r="AS158" s="492"/>
      <c r="AT158" t="str">
        <f t="shared" si="181"/>
        <v>Infrastructure activities are periodically reviewed</v>
      </c>
      <c r="AU158" t="str">
        <f t="shared" si="198"/>
        <v>References</v>
      </c>
      <c r="AV158" t="str">
        <f t="shared" si="213"/>
        <v>2.3.5.RX</v>
      </c>
      <c r="AW158" t="str">
        <f>IF(AND(AS158&lt;&gt;"",LEFT(AS158,1)&lt;&gt;"#"),IF(LEFT(AS158,1)="-",REPLACE(AS158,1,1,tech!$H$2),AS158),"")</f>
        <v/>
      </c>
      <c r="AX158" t="s">
        <v>495</v>
      </c>
      <c r="AY158" s="492"/>
      <c r="AZ158" t="str">
        <f t="shared" si="182"/>
        <v>Change management and agility is periodically reviewed</v>
      </c>
      <c r="BA158" t="str">
        <f t="shared" si="199"/>
        <v>References</v>
      </c>
      <c r="BB158" t="str">
        <f t="shared" si="214"/>
        <v>2.4.5.RX</v>
      </c>
      <c r="BC158" t="str">
        <f>IF(AND(AY158&lt;&gt;"",LEFT(AY158,1)&lt;&gt;"#"),IF(LEFT(AY158,1)="-",REPLACE(AY158,1,1,tech!$H$2),AY158),"")</f>
        <v/>
      </c>
      <c r="BD158" t="s">
        <v>495</v>
      </c>
      <c r="BE158" s="492"/>
      <c r="BF158" t="str">
        <f t="shared" si="183"/>
        <v>Continual review and improvement</v>
      </c>
      <c r="BG158" t="str">
        <f t="shared" si="200"/>
        <v>Guidance</v>
      </c>
      <c r="BH158" t="str">
        <f t="shared" si="215"/>
        <v>3.1.6.GX</v>
      </c>
      <c r="BI158" t="str">
        <f>IF(AND(BE158&lt;&gt;"",LEFT(BE158,1)&lt;&gt;"#"),IF(LEFT(BE158,1)="-",REPLACE(BE158,1,1,tech!$H$2),BE158),"")</f>
        <v/>
      </c>
      <c r="BJ158" t="s">
        <v>495</v>
      </c>
      <c r="BK158" s="492"/>
      <c r="BL158" t="str">
        <f t="shared" si="184"/>
        <v>Adoption and application of open standards</v>
      </c>
      <c r="BM158" t="str">
        <f t="shared" si="201"/>
        <v>References</v>
      </c>
      <c r="BN158" t="str">
        <f t="shared" si="216"/>
        <v>3.2.3.RX</v>
      </c>
      <c r="BO158" t="str">
        <f>IF(AND(BK158&lt;&gt;"",LEFT(BK158,1)&lt;&gt;"#"),IF(LEFT(BK158,1)="-",REPLACE(BK158,1,1,tech!$H$2),BK158),"")</f>
        <v/>
      </c>
      <c r="BP158" t="s">
        <v>495</v>
      </c>
      <c r="BQ158" s="492" t="s">
        <v>501</v>
      </c>
      <c r="BR158" t="str">
        <f t="shared" si="185"/>
        <v>Review of events and logs is periodically performed</v>
      </c>
      <c r="BS158" t="str">
        <f t="shared" si="202"/>
        <v>Assessment</v>
      </c>
      <c r="BT158" t="str">
        <f t="shared" si="217"/>
        <v>3.3.6.AX</v>
      </c>
      <c r="BU158" t="str">
        <f>IF(AND(BQ158&lt;&gt;"",LEFT(BQ158,1)&lt;&gt;"#"),IF(LEFT(BQ158,1)="-",REPLACE(BQ158,1,1,tech!$H$2),BQ158),"")</f>
        <v/>
      </c>
      <c r="BV158" t="s">
        <v>495</v>
      </c>
      <c r="BW158" s="492"/>
      <c r="BX158" t="str">
        <f t="shared" si="186"/>
        <v>Incidents and exceptions handling</v>
      </c>
      <c r="BY158" t="str">
        <f t="shared" si="203"/>
        <v>References</v>
      </c>
      <c r="BZ158" t="str">
        <f t="shared" si="218"/>
        <v>3.4.3.RX</v>
      </c>
      <c r="CA158" t="str">
        <f>IF(AND(BW158&lt;&gt;"",LEFT(BW158,1)&lt;&gt;"#"),IF(LEFT(BW158,1)="-",REPLACE(BW158,1,1,tech!$H$2),BW158),"")</f>
        <v/>
      </c>
      <c r="CB158" t="s">
        <v>495</v>
      </c>
      <c r="CC158" s="492"/>
      <c r="CD158" t="str">
        <f t="shared" si="187"/>
        <v>Resources are periodically reviewed</v>
      </c>
      <c r="CE158" t="str">
        <f t="shared" si="204"/>
        <v>References</v>
      </c>
      <c r="CF158" t="str">
        <f t="shared" si="219"/>
        <v>4.1.4.RX</v>
      </c>
      <c r="CG158" t="str">
        <f>IF(AND(CC158&lt;&gt;"",LEFT(CC158,1)&lt;&gt;"#"),IF(LEFT(CC158,1)="-",REPLACE(CC158,1,1,tech!$H$2),CC158),"")</f>
        <v/>
      </c>
      <c r="CH158" t="s">
        <v>495</v>
      </c>
      <c r="CI158" s="492" t="s">
        <v>1295</v>
      </c>
      <c r="CJ158" t="str">
        <f t="shared" si="188"/>
        <v>Periodically review knowledge</v>
      </c>
      <c r="CK158" t="str">
        <f t="shared" si="205"/>
        <v>References</v>
      </c>
      <c r="CL158" t="str">
        <f t="shared" si="220"/>
        <v>4.2.5.RY</v>
      </c>
      <c r="CM158" t="str">
        <f>IF(AND(CI158&lt;&gt;"",LEFT(CI158,1)&lt;&gt;"#"),IF(LEFT(CI158,1)="-",REPLACE(CI158,1,1,tech!$H$2),CI158),"")</f>
        <v>• [NIST SP 800-50 Building an Information Technology Security Awareness and Training Program](https://csrc.nist.gov/publications/detail/sp/800-50/final)</v>
      </c>
      <c r="CN158" t="s">
        <v>495</v>
      </c>
      <c r="CO158" s="492"/>
      <c r="CP158" t="str">
        <f t="shared" si="189"/>
        <v>Timely communication of important information</v>
      </c>
      <c r="CQ158" t="str">
        <f t="shared" si="206"/>
        <v>References</v>
      </c>
      <c r="CR158" t="str">
        <f t="shared" si="221"/>
        <v>4.3.4.RX</v>
      </c>
      <c r="CS158" t="str">
        <f>IF(AND(CO158&lt;&gt;"",LEFT(CO158,1)&lt;&gt;"#"),IF(LEFT(CO158,1)="-",REPLACE(CO158,1,1,tech!$H$2),CO158),"")</f>
        <v/>
      </c>
      <c r="CT158" t="s">
        <v>495</v>
      </c>
    </row>
    <row r="159" spans="3:98" x14ac:dyDescent="0.25">
      <c r="O159" s="492"/>
      <c r="P159" t="str">
        <f t="shared" si="222"/>
        <v>Policies are periodically reviewed and updated</v>
      </c>
      <c r="Q159" t="str">
        <f t="shared" si="223"/>
        <v>References</v>
      </c>
      <c r="R159" t="str">
        <f t="shared" si="224"/>
        <v>1.2.5.RX</v>
      </c>
      <c r="S159" t="str">
        <f>IF(AND(O159&lt;&gt;"",LEFT(O159,1)&lt;&gt;"#"),IF(LEFT(O159,1)="-",REPLACE(O159,1,1,tech!$H$2),O159),"")</f>
        <v/>
      </c>
      <c r="T159" t="s">
        <v>495</v>
      </c>
      <c r="U159" s="492"/>
      <c r="V159" t="str">
        <f t="shared" si="225"/>
        <v>List of relevant laws, regulations, and standards, exist and is maintained</v>
      </c>
      <c r="W159" t="str">
        <f t="shared" si="226"/>
        <v>References</v>
      </c>
      <c r="X159" t="str">
        <f t="shared" si="227"/>
        <v>1.3.4.RX</v>
      </c>
      <c r="Y159" t="str">
        <f>IF(AND(U159&lt;&gt;"",LEFT(U159,1)&lt;&gt;"#"),IF(LEFT(U159,1)="-",REPLACE(U159,1,1,tech!$H$2),U159),"")</f>
        <v/>
      </c>
      <c r="Z159" t="s">
        <v>495</v>
      </c>
      <c r="AA159" s="492"/>
      <c r="AB159" t="str">
        <f t="shared" si="228"/>
        <v>Processes and procedures are reviewed and updated</v>
      </c>
      <c r="AC159" t="str">
        <f t="shared" si="229"/>
        <v>References</v>
      </c>
      <c r="AD159" t="str">
        <f t="shared" si="230"/>
        <v>1.4.5.RX</v>
      </c>
      <c r="AE159" t="str">
        <f>IF(AND(AA159&lt;&gt;"",LEFT(AA159,1)&lt;&gt;"#"),IF(LEFT(AA159,1)="-",REPLACE(AA159,1,1,tech!$H$2),AA159),"")</f>
        <v/>
      </c>
      <c r="AF159" t="s">
        <v>495</v>
      </c>
      <c r="AG159" s="492" t="s">
        <v>503</v>
      </c>
      <c r="AH159" t="str">
        <f t="shared" si="231"/>
        <v>Key management is periodically reviewed and updated</v>
      </c>
      <c r="AI159" t="str">
        <f t="shared" si="232"/>
        <v>References</v>
      </c>
      <c r="AJ159" t="str">
        <f t="shared" si="233"/>
        <v>2.1.6.RX</v>
      </c>
      <c r="AK159" t="str">
        <f>IF(AND(AG159&lt;&gt;"",LEFT(AG159,1)&lt;&gt;"#"),IF(LEFT(AG159,1)="-",REPLACE(AG159,1,1,tech!$H$2),AG159),"")</f>
        <v/>
      </c>
      <c r="AL159" t="s">
        <v>495</v>
      </c>
      <c r="AM159" s="492" t="s">
        <v>501</v>
      </c>
      <c r="AN159" t="str">
        <f t="shared" si="180"/>
        <v>Certificate discovery process is documented</v>
      </c>
      <c r="AO159" t="str">
        <f t="shared" si="197"/>
        <v>Assessment</v>
      </c>
      <c r="AP159" t="str">
        <f t="shared" si="212"/>
        <v>2.2.5.AX</v>
      </c>
      <c r="AQ159" t="str">
        <f>IF(AND(AM159&lt;&gt;"",LEFT(AM159,1)&lt;&gt;"#"),IF(LEFT(AM159,1)="-",REPLACE(AM159,1,1,tech!$H$2),AM159),"")</f>
        <v/>
      </c>
      <c r="AR159" t="s">
        <v>495</v>
      </c>
      <c r="AS159" s="492"/>
      <c r="AT159" t="str">
        <f t="shared" si="181"/>
        <v>Infrastructure activities are periodically reviewed</v>
      </c>
      <c r="AU159" t="str">
        <f t="shared" si="198"/>
        <v>References</v>
      </c>
      <c r="AV159" t="str">
        <f t="shared" si="213"/>
        <v>2.3.5.RX</v>
      </c>
      <c r="AW159" t="str">
        <f>IF(AND(AS159&lt;&gt;"",LEFT(AS159,1)&lt;&gt;"#"),IF(LEFT(AS159,1)="-",REPLACE(AS159,1,1,tech!$H$2),AS159),"")</f>
        <v/>
      </c>
      <c r="AX159" t="s">
        <v>495</v>
      </c>
      <c r="AY159" s="492"/>
      <c r="AZ159" t="str">
        <f t="shared" si="182"/>
        <v>Change management and agility is periodically reviewed</v>
      </c>
      <c r="BA159" t="str">
        <f t="shared" si="199"/>
        <v>References</v>
      </c>
      <c r="BB159" t="str">
        <f t="shared" si="214"/>
        <v>2.4.5.RX</v>
      </c>
      <c r="BC159" t="str">
        <f>IF(AND(AY159&lt;&gt;"",LEFT(AY159,1)&lt;&gt;"#"),IF(LEFT(AY159,1)="-",REPLACE(AY159,1,1,tech!$H$2),AY159),"")</f>
        <v/>
      </c>
      <c r="BD159" t="s">
        <v>495</v>
      </c>
      <c r="BE159" s="492" t="s">
        <v>501</v>
      </c>
      <c r="BF159" t="str">
        <f t="shared" si="183"/>
        <v>Continual review and improvement</v>
      </c>
      <c r="BG159" t="str">
        <f t="shared" si="200"/>
        <v>Assessment</v>
      </c>
      <c r="BH159" t="str">
        <f t="shared" si="215"/>
        <v>3.1.6.AX</v>
      </c>
      <c r="BI159" t="str">
        <f>IF(AND(BE159&lt;&gt;"",LEFT(BE159,1)&lt;&gt;"#"),IF(LEFT(BE159,1)="-",REPLACE(BE159,1,1,tech!$H$2),BE159),"")</f>
        <v/>
      </c>
      <c r="BJ159" t="s">
        <v>495</v>
      </c>
      <c r="BK159" s="492"/>
      <c r="BL159" t="str">
        <f t="shared" si="184"/>
        <v>Adoption and application of open standards</v>
      </c>
      <c r="BM159" t="str">
        <f t="shared" si="201"/>
        <v>References</v>
      </c>
      <c r="BN159" t="str">
        <f t="shared" si="216"/>
        <v>3.2.3.RX</v>
      </c>
      <c r="BO159" t="str">
        <f>IF(AND(BK159&lt;&gt;"",LEFT(BK159,1)&lt;&gt;"#"),IF(LEFT(BK159,1)="-",REPLACE(BK159,1,1,tech!$H$2),BK159),"")</f>
        <v/>
      </c>
      <c r="BP159" t="s">
        <v>495</v>
      </c>
      <c r="BQ159" s="492"/>
      <c r="BR159" t="str">
        <f t="shared" si="185"/>
        <v>Review of events and logs is periodically performed</v>
      </c>
      <c r="BS159" t="str">
        <f t="shared" si="202"/>
        <v>Assessment</v>
      </c>
      <c r="BT159" t="str">
        <f t="shared" si="217"/>
        <v>3.3.6.AX</v>
      </c>
      <c r="BU159" t="str">
        <f>IF(AND(BQ159&lt;&gt;"",LEFT(BQ159,1)&lt;&gt;"#"),IF(LEFT(BQ159,1)="-",REPLACE(BQ159,1,1,tech!$H$2),BQ159),"")</f>
        <v/>
      </c>
      <c r="BV159" t="s">
        <v>495</v>
      </c>
      <c r="BW159" s="492"/>
      <c r="BX159" t="str">
        <f t="shared" si="186"/>
        <v>Incidents and exceptions handling</v>
      </c>
      <c r="BY159" t="str">
        <f t="shared" si="203"/>
        <v>References</v>
      </c>
      <c r="BZ159" t="str">
        <f t="shared" si="218"/>
        <v>3.4.3.RX</v>
      </c>
      <c r="CA159" t="str">
        <f>IF(AND(BW159&lt;&gt;"",LEFT(BW159,1)&lt;&gt;"#"),IF(LEFT(BW159,1)="-",REPLACE(BW159,1,1,tech!$H$2),BW159),"")</f>
        <v/>
      </c>
      <c r="CB159" t="s">
        <v>495</v>
      </c>
      <c r="CC159" s="492"/>
      <c r="CD159" t="str">
        <f t="shared" si="187"/>
        <v>Resources are periodically reviewed</v>
      </c>
      <c r="CE159" t="str">
        <f t="shared" si="204"/>
        <v>References</v>
      </c>
      <c r="CF159" t="str">
        <f t="shared" si="219"/>
        <v>4.1.4.RX</v>
      </c>
      <c r="CG159" t="str">
        <f>IF(AND(CC159&lt;&gt;"",LEFT(CC159,1)&lt;&gt;"#"),IF(LEFT(CC159,1)="-",REPLACE(CC159,1,1,tech!$H$2),CC159),"")</f>
        <v/>
      </c>
      <c r="CH159" t="s">
        <v>495</v>
      </c>
      <c r="CI159" s="492" t="s">
        <v>1296</v>
      </c>
      <c r="CJ159" t="str">
        <f t="shared" si="188"/>
        <v>Periodically review knowledge</v>
      </c>
      <c r="CK159" t="str">
        <f t="shared" si="205"/>
        <v>References</v>
      </c>
      <c r="CL159" t="str">
        <f t="shared" si="220"/>
        <v>4.2.5.RY</v>
      </c>
      <c r="CM159" t="str">
        <f>IF(AND(CI159&lt;&gt;"",LEFT(CI159,1)&lt;&gt;"#"),IF(LEFT(CI159,1)="-",REPLACE(CI159,1,1,tech!$H$2),CI159),"")</f>
        <v>• [European Cybersecurity Skills Framework (ECSF)](https://www.enisa.europa.eu/topics/education/european-cybersecurity-skills-framework)</v>
      </c>
      <c r="CN159" t="s">
        <v>495</v>
      </c>
      <c r="CO159" s="492"/>
      <c r="CP159" t="str">
        <f t="shared" si="189"/>
        <v>Timely communication of important information</v>
      </c>
      <c r="CQ159" t="str">
        <f t="shared" si="206"/>
        <v>References</v>
      </c>
      <c r="CR159" t="str">
        <f t="shared" si="221"/>
        <v>4.3.4.RX</v>
      </c>
      <c r="CS159" t="str">
        <f>IF(AND(CO159&lt;&gt;"",LEFT(CO159,1)&lt;&gt;"#"),IF(LEFT(CO159,1)="-",REPLACE(CO159,1,1,tech!$H$2),CO159),"")</f>
        <v/>
      </c>
      <c r="CT159" t="s">
        <v>495</v>
      </c>
    </row>
    <row r="160" spans="3:98" x14ac:dyDescent="0.25">
      <c r="O160" s="492"/>
      <c r="P160" t="str">
        <f t="shared" si="222"/>
        <v>Policies are periodically reviewed and updated</v>
      </c>
      <c r="Q160" t="str">
        <f t="shared" si="223"/>
        <v>References</v>
      </c>
      <c r="R160" t="str">
        <f t="shared" si="224"/>
        <v>1.2.5.RX</v>
      </c>
      <c r="S160" t="str">
        <f>IF(AND(O160&lt;&gt;"",LEFT(O160,1)&lt;&gt;"#"),IF(LEFT(O160,1)="-",REPLACE(O160,1,1,tech!$H$2),O160),"")</f>
        <v/>
      </c>
      <c r="T160" t="s">
        <v>495</v>
      </c>
      <c r="U160" s="492"/>
      <c r="V160" t="str">
        <f t="shared" si="225"/>
        <v>List of relevant laws, regulations, and standards, exist and is maintained</v>
      </c>
      <c r="W160" t="str">
        <f t="shared" si="226"/>
        <v>References</v>
      </c>
      <c r="X160" t="str">
        <f t="shared" si="227"/>
        <v>1.3.4.RX</v>
      </c>
      <c r="Y160" t="str">
        <f>IF(AND(U160&lt;&gt;"",LEFT(U160,1)&lt;&gt;"#"),IF(LEFT(U160,1)="-",REPLACE(U160,1,1,tech!$H$2),U160),"")</f>
        <v/>
      </c>
      <c r="Z160" t="s">
        <v>495</v>
      </c>
      <c r="AA160" s="492"/>
      <c r="AB160" t="str">
        <f t="shared" si="228"/>
        <v>Processes and procedures are reviewed and updated</v>
      </c>
      <c r="AC160" t="str">
        <f t="shared" si="229"/>
        <v>References</v>
      </c>
      <c r="AD160" t="str">
        <f t="shared" si="230"/>
        <v>1.4.5.RX</v>
      </c>
      <c r="AE160" t="str">
        <f>IF(AND(AA160&lt;&gt;"",LEFT(AA160,1)&lt;&gt;"#"),IF(LEFT(AA160,1)="-",REPLACE(AA160,1,1,tech!$H$2),AA160),"")</f>
        <v/>
      </c>
      <c r="AF160" t="s">
        <v>495</v>
      </c>
      <c r="AG160" s="492"/>
      <c r="AH160" t="str">
        <f t="shared" si="231"/>
        <v>Key management is periodically reviewed and updated</v>
      </c>
      <c r="AI160" t="str">
        <f t="shared" si="232"/>
        <v>References</v>
      </c>
      <c r="AJ160" t="str">
        <f t="shared" si="233"/>
        <v>2.1.6.RX</v>
      </c>
      <c r="AK160" t="str">
        <f>IF(AND(AG160&lt;&gt;"",LEFT(AG160,1)&lt;&gt;"#"),IF(LEFT(AG160,1)="-",REPLACE(AG160,1,1,tech!$H$2),AG160),"")</f>
        <v/>
      </c>
      <c r="AL160" t="s">
        <v>495</v>
      </c>
      <c r="AM160" s="492"/>
      <c r="AN160" t="str">
        <f t="shared" si="180"/>
        <v>Certificate discovery process is documented</v>
      </c>
      <c r="AO160" t="str">
        <f t="shared" si="197"/>
        <v>Assessment</v>
      </c>
      <c r="AP160" t="str">
        <f t="shared" si="212"/>
        <v>2.2.5.AX</v>
      </c>
      <c r="AQ160" t="str">
        <f>IF(AND(AM160&lt;&gt;"",LEFT(AM160,1)&lt;&gt;"#"),IF(LEFT(AM160,1)="-",REPLACE(AM160,1,1,tech!$H$2),AM160),"")</f>
        <v/>
      </c>
      <c r="AR160" t="s">
        <v>495</v>
      </c>
      <c r="AS160" s="492"/>
      <c r="AT160" t="str">
        <f t="shared" si="181"/>
        <v>Infrastructure activities are periodically reviewed</v>
      </c>
      <c r="AU160" t="str">
        <f t="shared" si="198"/>
        <v>References</v>
      </c>
      <c r="AV160" t="str">
        <f t="shared" si="213"/>
        <v>2.3.5.RX</v>
      </c>
      <c r="AW160" t="str">
        <f>IF(AND(AS160&lt;&gt;"",LEFT(AS160,1)&lt;&gt;"#"),IF(LEFT(AS160,1)="-",REPLACE(AS160,1,1,tech!$H$2),AS160),"")</f>
        <v/>
      </c>
      <c r="AX160" t="s">
        <v>495</v>
      </c>
      <c r="AY160" s="492"/>
      <c r="AZ160" t="str">
        <f t="shared" si="182"/>
        <v>Change management and agility is periodically reviewed</v>
      </c>
      <c r="BA160" t="str">
        <f t="shared" si="199"/>
        <v>References</v>
      </c>
      <c r="BB160" t="str">
        <f t="shared" si="214"/>
        <v>2.4.5.RX</v>
      </c>
      <c r="BC160" t="str">
        <f>IF(AND(AY160&lt;&gt;"",LEFT(AY160,1)&lt;&gt;"#"),IF(LEFT(AY160,1)="-",REPLACE(AY160,1,1,tech!$H$2),AY160),"")</f>
        <v/>
      </c>
      <c r="BD160" t="s">
        <v>495</v>
      </c>
      <c r="BE160" s="492"/>
      <c r="BF160" t="str">
        <f t="shared" si="183"/>
        <v>Continual review and improvement</v>
      </c>
      <c r="BG160" t="str">
        <f t="shared" si="200"/>
        <v>Assessment</v>
      </c>
      <c r="BH160" t="str">
        <f t="shared" si="215"/>
        <v>3.1.6.AX</v>
      </c>
      <c r="BI160" t="str">
        <f>IF(AND(BE160&lt;&gt;"",LEFT(BE160,1)&lt;&gt;"#"),IF(LEFT(BE160,1)="-",REPLACE(BE160,1,1,tech!$H$2),BE160),"")</f>
        <v/>
      </c>
      <c r="BJ160" t="s">
        <v>495</v>
      </c>
      <c r="BK160" s="492"/>
      <c r="BL160" t="str">
        <f t="shared" si="184"/>
        <v>Adoption and application of open standards</v>
      </c>
      <c r="BM160" t="str">
        <f t="shared" si="201"/>
        <v>References</v>
      </c>
      <c r="BN160" t="str">
        <f t="shared" si="216"/>
        <v>3.2.3.RX</v>
      </c>
      <c r="BO160" t="str">
        <f>IF(AND(BK160&lt;&gt;"",LEFT(BK160,1)&lt;&gt;"#"),IF(LEFT(BK160,1)="-",REPLACE(BK160,1,1,tech!$H$2),BK160),"")</f>
        <v/>
      </c>
      <c r="BP160" t="s">
        <v>495</v>
      </c>
      <c r="BQ160" s="492" t="s">
        <v>1206</v>
      </c>
      <c r="BR160" t="str">
        <f t="shared" si="185"/>
        <v>Review of events and logs is periodically performed</v>
      </c>
      <c r="BS160" t="str">
        <f t="shared" si="202"/>
        <v>Assessment</v>
      </c>
      <c r="BT160" t="str">
        <f t="shared" si="217"/>
        <v>3.3.6.AY</v>
      </c>
      <c r="BU160" t="str">
        <f>IF(AND(BQ160&lt;&gt;"",LEFT(BQ160,1)&lt;&gt;"#"),IF(LEFT(BQ160,1)="-",REPLACE(BQ160,1,1,tech!$H$2),BQ160),"")</f>
        <v>• Review of logs and events is performed Periodically</v>
      </c>
      <c r="BV160" t="s">
        <v>495</v>
      </c>
      <c r="BW160" s="492"/>
      <c r="BX160" t="str">
        <f t="shared" si="186"/>
        <v>Incidents and exceptions handling</v>
      </c>
      <c r="BY160" t="str">
        <f t="shared" si="203"/>
        <v>References</v>
      </c>
      <c r="BZ160" t="str">
        <f t="shared" si="218"/>
        <v>3.4.3.RX</v>
      </c>
      <c r="CA160" t="str">
        <f>IF(AND(BW160&lt;&gt;"",LEFT(BW160,1)&lt;&gt;"#"),IF(LEFT(BW160,1)="-",REPLACE(BW160,1,1,tech!$H$2),BW160),"")</f>
        <v/>
      </c>
      <c r="CB160" t="s">
        <v>495</v>
      </c>
      <c r="CC160" s="492"/>
      <c r="CD160" t="str">
        <f t="shared" si="187"/>
        <v>Resources are periodically reviewed</v>
      </c>
      <c r="CE160" t="str">
        <f t="shared" si="204"/>
        <v>References</v>
      </c>
      <c r="CF160" t="str">
        <f t="shared" si="219"/>
        <v>4.1.4.RX</v>
      </c>
      <c r="CG160" t="str">
        <f>IF(AND(CC160&lt;&gt;"",LEFT(CC160,1)&lt;&gt;"#"),IF(LEFT(CC160,1)="-",REPLACE(CC160,1,1,tech!$H$2),CC160),"")</f>
        <v/>
      </c>
      <c r="CH160" t="s">
        <v>495</v>
      </c>
      <c r="CI160" s="492"/>
      <c r="CJ160" t="str">
        <f t="shared" si="188"/>
        <v>Periodically review knowledge</v>
      </c>
      <c r="CK160" t="str">
        <f t="shared" si="205"/>
        <v>References</v>
      </c>
      <c r="CL160" t="str">
        <f t="shared" si="220"/>
        <v>4.2.5.RX</v>
      </c>
      <c r="CM160" t="str">
        <f>IF(AND(CI160&lt;&gt;"",LEFT(CI160,1)&lt;&gt;"#"),IF(LEFT(CI160,1)="-",REPLACE(CI160,1,1,tech!$H$2),CI160),"")</f>
        <v/>
      </c>
      <c r="CN160" t="s">
        <v>495</v>
      </c>
      <c r="CO160" s="492"/>
      <c r="CP160" t="str">
        <f t="shared" si="189"/>
        <v>Timely communication of important information</v>
      </c>
      <c r="CQ160" t="str">
        <f t="shared" si="206"/>
        <v>References</v>
      </c>
      <c r="CR160" t="str">
        <f t="shared" si="221"/>
        <v>4.3.4.RX</v>
      </c>
      <c r="CS160" t="str">
        <f>IF(AND(CO160&lt;&gt;"",LEFT(CO160,1)&lt;&gt;"#"),IF(LEFT(CO160,1)="-",REPLACE(CO160,1,1,tech!$H$2),CO160),"")</f>
        <v/>
      </c>
      <c r="CT160" t="s">
        <v>495</v>
      </c>
    </row>
    <row r="161" spans="15:98" x14ac:dyDescent="0.25">
      <c r="O161" s="492"/>
      <c r="P161" t="str">
        <f t="shared" si="222"/>
        <v>Policies are periodically reviewed and updated</v>
      </c>
      <c r="Q161" t="str">
        <f t="shared" si="223"/>
        <v>References</v>
      </c>
      <c r="R161" t="str">
        <f t="shared" si="224"/>
        <v>1.2.5.RX</v>
      </c>
      <c r="S161" t="str">
        <f>IF(AND(O161&lt;&gt;"",LEFT(O161,1)&lt;&gt;"#"),IF(LEFT(O161,1)="-",REPLACE(O161,1,1,tech!$H$2),O161),"")</f>
        <v/>
      </c>
      <c r="T161" t="s">
        <v>495</v>
      </c>
      <c r="U161" s="492"/>
      <c r="V161" t="str">
        <f t="shared" si="225"/>
        <v>List of relevant laws, regulations, and standards, exist and is maintained</v>
      </c>
      <c r="W161" t="str">
        <f t="shared" si="226"/>
        <v>References</v>
      </c>
      <c r="X161" t="str">
        <f t="shared" si="227"/>
        <v>1.3.4.RX</v>
      </c>
      <c r="Y161" t="str">
        <f>IF(AND(U161&lt;&gt;"",LEFT(U161,1)&lt;&gt;"#"),IF(LEFT(U161,1)="-",REPLACE(U161,1,1,tech!$H$2),U161),"")</f>
        <v/>
      </c>
      <c r="Z161" t="s">
        <v>495</v>
      </c>
      <c r="AA161" s="492"/>
      <c r="AB161" t="str">
        <f t="shared" si="228"/>
        <v>Processes and procedures are reviewed and updated</v>
      </c>
      <c r="AC161" t="str">
        <f t="shared" si="229"/>
        <v>References</v>
      </c>
      <c r="AD161" t="str">
        <f t="shared" si="230"/>
        <v>1.4.5.RX</v>
      </c>
      <c r="AE161" t="str">
        <f>IF(AND(AA161&lt;&gt;"",LEFT(AA161,1)&lt;&gt;"#"),IF(LEFT(AA161,1)="-",REPLACE(AA161,1,1,tech!$H$2),AA161),"")</f>
        <v/>
      </c>
      <c r="AF161" t="s">
        <v>495</v>
      </c>
      <c r="AG161" s="492" t="s">
        <v>707</v>
      </c>
      <c r="AH161" t="str">
        <f t="shared" si="231"/>
        <v>Key management is periodically reviewed and updated</v>
      </c>
      <c r="AI161" t="str">
        <f t="shared" si="232"/>
        <v>References</v>
      </c>
      <c r="AJ161" t="str">
        <f t="shared" si="233"/>
        <v>2.1.6.RY</v>
      </c>
      <c r="AK161" t="str">
        <f>IF(AND(AG161&lt;&gt;"",LEFT(AG161,1)&lt;&gt;"#"),IF(LEFT(AG161,1)="-",REPLACE(AG161,1,1,tech!$H$2),AG161),"")</f>
        <v>• [ISO/IEC 27001 and related standards](https://www.iso.org/isoiec-27001-information-security.html)</v>
      </c>
      <c r="AL161" t="s">
        <v>495</v>
      </c>
      <c r="AM161" s="492" t="s">
        <v>861</v>
      </c>
      <c r="AN161" t="str">
        <f t="shared" si="180"/>
        <v>Certificate discovery process is documented</v>
      </c>
      <c r="AO161" t="str">
        <f t="shared" si="197"/>
        <v>Assessment</v>
      </c>
      <c r="AP161" t="str">
        <f t="shared" si="212"/>
        <v>2.2.5.AY</v>
      </c>
      <c r="AQ161" t="str">
        <f>IF(AND(AM161&lt;&gt;"",LEFT(AM161,1)&lt;&gt;"#"),IF(LEFT(AM161,1)="-",REPLACE(AM161,1,1,tech!$H$2),AM161),"")</f>
        <v>* Documented certificate discovery requirements</v>
      </c>
      <c r="AR161" t="s">
        <v>495</v>
      </c>
      <c r="AS161" s="492"/>
      <c r="AT161" t="str">
        <f t="shared" si="181"/>
        <v>Infrastructure activities are periodically reviewed</v>
      </c>
      <c r="AU161" t="str">
        <f t="shared" si="198"/>
        <v>References</v>
      </c>
      <c r="AV161" t="str">
        <f t="shared" si="213"/>
        <v>2.3.5.RX</v>
      </c>
      <c r="AW161" t="str">
        <f>IF(AND(AS161&lt;&gt;"",LEFT(AS161,1)&lt;&gt;"#"),IF(LEFT(AS161,1)="-",REPLACE(AS161,1,1,tech!$H$2),AS161),"")</f>
        <v/>
      </c>
      <c r="AX161" t="s">
        <v>495</v>
      </c>
      <c r="AY161" s="492"/>
      <c r="AZ161" t="str">
        <f t="shared" si="182"/>
        <v>Change management and agility is periodically reviewed</v>
      </c>
      <c r="BA161" t="str">
        <f t="shared" si="199"/>
        <v>References</v>
      </c>
      <c r="BB161" t="str">
        <f t="shared" si="214"/>
        <v>2.4.5.RX</v>
      </c>
      <c r="BC161" t="str">
        <f>IF(AND(AY161&lt;&gt;"",LEFT(AY161,1)&lt;&gt;"#"),IF(LEFT(AY161,1)="-",REPLACE(AY161,1,1,tech!$H$2),AY161),"")</f>
        <v/>
      </c>
      <c r="BD161" t="s">
        <v>495</v>
      </c>
      <c r="BE161" s="492" t="s">
        <v>502</v>
      </c>
      <c r="BF161" t="str">
        <f t="shared" si="183"/>
        <v>Continual review and improvement</v>
      </c>
      <c r="BG161" t="str">
        <f t="shared" si="200"/>
        <v>Assessment</v>
      </c>
      <c r="BH161" t="str">
        <f t="shared" si="215"/>
        <v>3.1.6.AY</v>
      </c>
      <c r="BI161" t="str">
        <f>IF(AND(BE161&lt;&gt;"",LEFT(BE161,1)&lt;&gt;"#"),IF(LEFT(BE161,1)="-",REPLACE(BE161,1,1,tech!$H$2),BE161),"")</f>
        <v>The following is sample evidence that can be used to assess the requirement:</v>
      </c>
      <c r="BJ161" t="s">
        <v>495</v>
      </c>
      <c r="BK161" s="492"/>
      <c r="BL161" t="str">
        <f t="shared" si="184"/>
        <v>Adoption and application of open standards</v>
      </c>
      <c r="BM161" t="str">
        <f t="shared" si="201"/>
        <v>References</v>
      </c>
      <c r="BN161" t="str">
        <f t="shared" si="216"/>
        <v>3.2.3.RX</v>
      </c>
      <c r="BO161" t="str">
        <f>IF(AND(BK161&lt;&gt;"",LEFT(BK161,1)&lt;&gt;"#"),IF(LEFT(BK161,1)="-",REPLACE(BK161,1,1,tech!$H$2),BK161),"")</f>
        <v/>
      </c>
      <c r="BP161" t="s">
        <v>495</v>
      </c>
      <c r="BQ161" s="492" t="s">
        <v>1207</v>
      </c>
      <c r="BR161" t="str">
        <f t="shared" si="185"/>
        <v>Review of events and logs is periodically performed</v>
      </c>
      <c r="BS161" t="str">
        <f t="shared" si="202"/>
        <v>Assessment</v>
      </c>
      <c r="BT161" t="str">
        <f t="shared" si="217"/>
        <v>3.3.6.AY</v>
      </c>
      <c r="BU161" t="str">
        <f>IF(AND(BQ161&lt;&gt;"",LEFT(BQ161,1)&lt;&gt;"#"),IF(LEFT(BQ161,1)="-",REPLACE(BQ161,1,1,tech!$H$2),BQ161),"")</f>
        <v>• Review of logs and events is performed according to the requirements</v>
      </c>
      <c r="BV161" t="s">
        <v>495</v>
      </c>
      <c r="BW161" s="492"/>
      <c r="BX161" t="str">
        <f t="shared" si="186"/>
        <v>Incidents and exceptions handling</v>
      </c>
      <c r="BY161" t="str">
        <f t="shared" si="203"/>
        <v>References</v>
      </c>
      <c r="BZ161" t="str">
        <f t="shared" si="218"/>
        <v>3.4.3.RX</v>
      </c>
      <c r="CA161" t="str">
        <f>IF(AND(BW161&lt;&gt;"",LEFT(BW161,1)&lt;&gt;"#"),IF(LEFT(BW161,1)="-",REPLACE(BW161,1,1,tech!$H$2),BW161),"")</f>
        <v/>
      </c>
      <c r="CB161" t="s">
        <v>495</v>
      </c>
      <c r="CC161" s="492"/>
      <c r="CD161" t="str">
        <f t="shared" si="187"/>
        <v>Resources are periodically reviewed</v>
      </c>
      <c r="CE161" t="str">
        <f t="shared" si="204"/>
        <v>References</v>
      </c>
      <c r="CF161" t="str">
        <f t="shared" si="219"/>
        <v>4.1.4.RX</v>
      </c>
      <c r="CG161" t="str">
        <f>IF(AND(CC161&lt;&gt;"",LEFT(CC161,1)&lt;&gt;"#"),IF(LEFT(CC161,1)="-",REPLACE(CC161,1,1,tech!$H$2),CC161),"")</f>
        <v/>
      </c>
      <c r="CH161" t="s">
        <v>495</v>
      </c>
      <c r="CI161" s="492"/>
      <c r="CJ161" t="str">
        <f t="shared" si="188"/>
        <v>Periodically review knowledge</v>
      </c>
      <c r="CK161" t="str">
        <f t="shared" si="205"/>
        <v>References</v>
      </c>
      <c r="CL161" t="str">
        <f t="shared" si="220"/>
        <v>4.2.5.RX</v>
      </c>
      <c r="CM161" t="str">
        <f>IF(AND(CI161&lt;&gt;"",LEFT(CI161,1)&lt;&gt;"#"),IF(LEFT(CI161,1)="-",REPLACE(CI161,1,1,tech!$H$2),CI161),"")</f>
        <v/>
      </c>
      <c r="CN161" t="s">
        <v>495</v>
      </c>
      <c r="CO161" s="492"/>
      <c r="CP161" t="str">
        <f t="shared" si="189"/>
        <v>Timely communication of important information</v>
      </c>
      <c r="CQ161" t="str">
        <f t="shared" si="206"/>
        <v>References</v>
      </c>
      <c r="CR161" t="str">
        <f t="shared" si="221"/>
        <v>4.3.4.RX</v>
      </c>
      <c r="CS161" t="str">
        <f>IF(AND(CO161&lt;&gt;"",LEFT(CO161,1)&lt;&gt;"#"),IF(LEFT(CO161,1)="-",REPLACE(CO161,1,1,tech!$H$2),CO161),"")</f>
        <v/>
      </c>
      <c r="CT161" t="s">
        <v>495</v>
      </c>
    </row>
    <row r="162" spans="15:98" x14ac:dyDescent="0.25">
      <c r="O162" s="492"/>
      <c r="P162" t="str">
        <f t="shared" si="222"/>
        <v>Policies are periodically reviewed and updated</v>
      </c>
      <c r="Q162" t="str">
        <f t="shared" si="223"/>
        <v>References</v>
      </c>
      <c r="R162" t="str">
        <f t="shared" si="224"/>
        <v>1.2.5.RX</v>
      </c>
      <c r="S162" t="str">
        <f>IF(AND(O162&lt;&gt;"",LEFT(O162,1)&lt;&gt;"#"),IF(LEFT(O162,1)="-",REPLACE(O162,1,1,tech!$H$2),O162),"")</f>
        <v/>
      </c>
      <c r="T162" t="s">
        <v>495</v>
      </c>
      <c r="U162" s="492"/>
      <c r="V162" t="str">
        <f t="shared" si="225"/>
        <v>List of relevant laws, regulations, and standards, exist and is maintained</v>
      </c>
      <c r="W162" t="str">
        <f t="shared" si="226"/>
        <v>References</v>
      </c>
      <c r="X162" t="str">
        <f t="shared" si="227"/>
        <v>1.3.4.RX</v>
      </c>
      <c r="Y162" t="str">
        <f>IF(AND(U162&lt;&gt;"",LEFT(U162,1)&lt;&gt;"#"),IF(LEFT(U162,1)="-",REPLACE(U162,1,1,tech!$H$2),U162),"")</f>
        <v/>
      </c>
      <c r="Z162" t="s">
        <v>495</v>
      </c>
      <c r="AA162" s="492"/>
      <c r="AB162" t="str">
        <f t="shared" si="228"/>
        <v>Processes and procedures are reviewed and updated</v>
      </c>
      <c r="AC162" t="str">
        <f t="shared" si="229"/>
        <v>References</v>
      </c>
      <c r="AD162" t="str">
        <f t="shared" si="230"/>
        <v>1.4.5.RX</v>
      </c>
      <c r="AE162" t="str">
        <f>IF(AND(AA162&lt;&gt;"",LEFT(AA162,1)&lt;&gt;"#"),IF(LEFT(AA162,1)="-",REPLACE(AA162,1,1,tech!$H$2),AA162),"")</f>
        <v/>
      </c>
      <c r="AF162" t="s">
        <v>495</v>
      </c>
      <c r="AG162" s="492"/>
      <c r="AH162" t="str">
        <f t="shared" si="231"/>
        <v>Key management is periodically reviewed and updated</v>
      </c>
      <c r="AI162" t="str">
        <f t="shared" si="232"/>
        <v>References</v>
      </c>
      <c r="AJ162" t="str">
        <f t="shared" si="233"/>
        <v>2.1.6.RX</v>
      </c>
      <c r="AK162" t="str">
        <f>IF(AND(AG162&lt;&gt;"",LEFT(AG162,1)&lt;&gt;"#"),IF(LEFT(AG162,1)="-",REPLACE(AG162,1,1,tech!$H$2),AG162),"")</f>
        <v/>
      </c>
      <c r="AL162" t="s">
        <v>495</v>
      </c>
      <c r="AM162" s="492" t="s">
        <v>862</v>
      </c>
      <c r="AN162" t="str">
        <f t="shared" si="180"/>
        <v>Certificate discovery process is documented</v>
      </c>
      <c r="AO162" t="str">
        <f t="shared" si="197"/>
        <v>Assessment</v>
      </c>
      <c r="AP162" t="str">
        <f t="shared" si="212"/>
        <v>2.2.5.AY</v>
      </c>
      <c r="AQ162" t="str">
        <f>IF(AND(AM162&lt;&gt;"",LEFT(AM162,1)&lt;&gt;"#"),IF(LEFT(AM162,1)="-",REPLACE(AM162,1,1,tech!$H$2),AM162),"")</f>
        <v>* Documented certificate discovery process and frequency</v>
      </c>
      <c r="AR162" t="s">
        <v>495</v>
      </c>
      <c r="AS162" s="492"/>
      <c r="AT162" t="str">
        <f t="shared" si="181"/>
        <v>Infrastructure activities are periodically reviewed</v>
      </c>
      <c r="AU162" t="str">
        <f t="shared" si="198"/>
        <v>References</v>
      </c>
      <c r="AV162" t="str">
        <f t="shared" si="213"/>
        <v>2.3.5.RX</v>
      </c>
      <c r="AW162" t="str">
        <f>IF(AND(AS162&lt;&gt;"",LEFT(AS162,1)&lt;&gt;"#"),IF(LEFT(AS162,1)="-",REPLACE(AS162,1,1,tech!$H$2),AS162),"")</f>
        <v/>
      </c>
      <c r="AX162" t="s">
        <v>495</v>
      </c>
      <c r="AY162" s="492"/>
      <c r="AZ162" t="str">
        <f t="shared" si="182"/>
        <v>Change management and agility is periodically reviewed</v>
      </c>
      <c r="BA162" t="str">
        <f t="shared" si="199"/>
        <v>References</v>
      </c>
      <c r="BB162" t="str">
        <f t="shared" si="214"/>
        <v>2.4.5.RX</v>
      </c>
      <c r="BC162" t="str">
        <f>IF(AND(AY162&lt;&gt;"",LEFT(AY162,1)&lt;&gt;"#"),IF(LEFT(AY162,1)="-",REPLACE(AY162,1,1,tech!$H$2),AY162),"")</f>
        <v/>
      </c>
      <c r="BD162" t="s">
        <v>495</v>
      </c>
      <c r="BE162" s="492" t="s">
        <v>1086</v>
      </c>
      <c r="BF162" t="str">
        <f t="shared" si="183"/>
        <v>Continual review and improvement</v>
      </c>
      <c r="BG162" t="str">
        <f t="shared" si="200"/>
        <v>Assessment</v>
      </c>
      <c r="BH162" t="str">
        <f t="shared" si="215"/>
        <v>3.1.6.AY</v>
      </c>
      <c r="BI162" t="str">
        <f>IF(AND(BE162&lt;&gt;"",LEFT(BE162,1)&lt;&gt;"#"),IF(LEFT(BE162,1)="-",REPLACE(BE162,1,1,tech!$H$2),BE162),"")</f>
        <v>• resilience effectiveness Review frequency</v>
      </c>
      <c r="BJ162" t="s">
        <v>495</v>
      </c>
      <c r="BK162" s="492"/>
      <c r="BL162" t="str">
        <f t="shared" si="184"/>
        <v>Adoption and application of open standards</v>
      </c>
      <c r="BM162" t="str">
        <f t="shared" si="201"/>
        <v>References</v>
      </c>
      <c r="BN162" t="str">
        <f t="shared" si="216"/>
        <v>3.2.3.RX</v>
      </c>
      <c r="BO162" t="str">
        <f>IF(AND(BK162&lt;&gt;"",LEFT(BK162,1)&lt;&gt;"#"),IF(LEFT(BK162,1)="-",REPLACE(BK162,1,1,tech!$H$2),BK162),"")</f>
        <v/>
      </c>
      <c r="BP162" t="s">
        <v>495</v>
      </c>
      <c r="BQ162" s="492" t="s">
        <v>1208</v>
      </c>
      <c r="BR162" t="str">
        <f t="shared" si="185"/>
        <v>Review of events and logs is periodically performed</v>
      </c>
      <c r="BS162" t="str">
        <f t="shared" si="202"/>
        <v>Assessment</v>
      </c>
      <c r="BT162" t="str">
        <f t="shared" si="217"/>
        <v>3.3.6.AY</v>
      </c>
      <c r="BU162" t="str">
        <f>IF(AND(BQ162&lt;&gt;"",LEFT(BQ162,1)&lt;&gt;"#"),IF(LEFT(BQ162,1)="-",REPLACE(BQ162,1,1,tech!$H$2),BQ162),"")</f>
        <v>• Review of logs and events is confirmed by authorized personnel</v>
      </c>
      <c r="BV162" t="s">
        <v>495</v>
      </c>
      <c r="BW162" s="492"/>
      <c r="BX162" t="str">
        <f t="shared" si="186"/>
        <v>Incidents and exceptions handling</v>
      </c>
      <c r="BY162" t="str">
        <f t="shared" si="203"/>
        <v>References</v>
      </c>
      <c r="BZ162" t="str">
        <f t="shared" si="218"/>
        <v>3.4.3.RX</v>
      </c>
      <c r="CA162" t="str">
        <f>IF(AND(BW162&lt;&gt;"",LEFT(BW162,1)&lt;&gt;"#"),IF(LEFT(BW162,1)="-",REPLACE(BW162,1,1,tech!$H$2),BW162),"")</f>
        <v/>
      </c>
      <c r="CB162" t="s">
        <v>495</v>
      </c>
      <c r="CC162" s="492"/>
      <c r="CD162" t="str">
        <f t="shared" si="187"/>
        <v>Resources are periodically reviewed</v>
      </c>
      <c r="CE162" t="str">
        <f t="shared" si="204"/>
        <v>References</v>
      </c>
      <c r="CF162" t="str">
        <f t="shared" si="219"/>
        <v>4.1.4.RX</v>
      </c>
      <c r="CG162" t="str">
        <f>IF(AND(CC162&lt;&gt;"",LEFT(CC162,1)&lt;&gt;"#"),IF(LEFT(CC162,1)="-",REPLACE(CC162,1,1,tech!$H$2),CC162),"")</f>
        <v/>
      </c>
      <c r="CH162" t="s">
        <v>495</v>
      </c>
      <c r="CI162" s="492"/>
      <c r="CJ162" t="str">
        <f t="shared" si="188"/>
        <v>Periodically review knowledge</v>
      </c>
      <c r="CK162" t="str">
        <f t="shared" si="205"/>
        <v>References</v>
      </c>
      <c r="CL162" t="str">
        <f t="shared" si="220"/>
        <v>4.2.5.RX</v>
      </c>
      <c r="CM162" t="str">
        <f>IF(AND(CI162&lt;&gt;"",LEFT(CI162,1)&lt;&gt;"#"),IF(LEFT(CI162,1)="-",REPLACE(CI162,1,1,tech!$H$2),CI162),"")</f>
        <v/>
      </c>
      <c r="CN162" t="s">
        <v>495</v>
      </c>
      <c r="CO162" s="492"/>
      <c r="CP162" t="str">
        <f t="shared" si="189"/>
        <v>Timely communication of important information</v>
      </c>
      <c r="CQ162" t="str">
        <f t="shared" si="206"/>
        <v>References</v>
      </c>
      <c r="CR162" t="str">
        <f t="shared" si="221"/>
        <v>4.3.4.RX</v>
      </c>
      <c r="CS162" t="str">
        <f>IF(AND(CO162&lt;&gt;"",LEFT(CO162,1)&lt;&gt;"#"),IF(LEFT(CO162,1)="-",REPLACE(CO162,1,1,tech!$H$2),CO162),"")</f>
        <v/>
      </c>
      <c r="CT162" t="s">
        <v>495</v>
      </c>
    </row>
    <row r="163" spans="15:98" x14ac:dyDescent="0.25">
      <c r="O163" s="492"/>
      <c r="P163" t="str">
        <f t="shared" si="222"/>
        <v>Policies are periodically reviewed and updated</v>
      </c>
      <c r="Q163" t="str">
        <f t="shared" si="223"/>
        <v>References</v>
      </c>
      <c r="R163" t="str">
        <f t="shared" si="224"/>
        <v>1.2.5.RX</v>
      </c>
      <c r="S163" t="str">
        <f>IF(AND(O163&lt;&gt;"",LEFT(O163,1)&lt;&gt;"#"),IF(LEFT(O163,1)="-",REPLACE(O163,1,1,tech!$H$2),O163),"")</f>
        <v/>
      </c>
      <c r="T163" t="s">
        <v>495</v>
      </c>
      <c r="U163" s="492"/>
      <c r="V163" t="str">
        <f t="shared" si="225"/>
        <v>List of relevant laws, regulations, and standards, exist and is maintained</v>
      </c>
      <c r="W163" t="str">
        <f t="shared" si="226"/>
        <v>References</v>
      </c>
      <c r="X163" t="str">
        <f t="shared" si="227"/>
        <v>1.3.4.RX</v>
      </c>
      <c r="Y163" t="str">
        <f>IF(AND(U163&lt;&gt;"",LEFT(U163,1)&lt;&gt;"#"),IF(LEFT(U163,1)="-",REPLACE(U163,1,1,tech!$H$2),U163),"")</f>
        <v/>
      </c>
      <c r="Z163" t="s">
        <v>495</v>
      </c>
      <c r="AA163" s="492"/>
      <c r="AB163" t="str">
        <f t="shared" si="228"/>
        <v>Processes and procedures are reviewed and updated</v>
      </c>
      <c r="AC163" t="str">
        <f t="shared" si="229"/>
        <v>References</v>
      </c>
      <c r="AD163" t="str">
        <f t="shared" si="230"/>
        <v>1.4.5.RX</v>
      </c>
      <c r="AE163" t="str">
        <f>IF(AND(AA163&lt;&gt;"",LEFT(AA163,1)&lt;&gt;"#"),IF(LEFT(AA163,1)="-",REPLACE(AA163,1,1,tech!$H$2),AA163),"")</f>
        <v/>
      </c>
      <c r="AF163" t="s">
        <v>495</v>
      </c>
      <c r="AG163" s="492"/>
      <c r="AH163" t="str">
        <f t="shared" si="231"/>
        <v>Key management is periodically reviewed and updated</v>
      </c>
      <c r="AI163" t="str">
        <f t="shared" si="232"/>
        <v>References</v>
      </c>
      <c r="AJ163" t="str">
        <f t="shared" si="233"/>
        <v>2.1.6.RX</v>
      </c>
      <c r="AK163" t="str">
        <f>IF(AND(AG163&lt;&gt;"",LEFT(AG163,1)&lt;&gt;"#"),IF(LEFT(AG163,1)="-",REPLACE(AG163,1,1,tech!$H$2),AG163),"")</f>
        <v/>
      </c>
      <c r="AL163" t="s">
        <v>495</v>
      </c>
      <c r="AM163" s="492" t="s">
        <v>863</v>
      </c>
      <c r="AN163" t="str">
        <f t="shared" si="180"/>
        <v>Certificate discovery process is documented</v>
      </c>
      <c r="AO163" t="str">
        <f t="shared" si="197"/>
        <v>Assessment</v>
      </c>
      <c r="AP163" t="str">
        <f t="shared" si="212"/>
        <v>2.2.5.AY</v>
      </c>
      <c r="AQ163" t="str">
        <f>IF(AND(AM163&lt;&gt;"",LEFT(AM163,1)&lt;&gt;"#"),IF(LEFT(AM163,1)="-",REPLACE(AM163,1,1,tech!$H$2),AM163),"")</f>
        <v>* The supporting tools for the certificate discovery</v>
      </c>
      <c r="AR163" t="s">
        <v>495</v>
      </c>
      <c r="AS163" s="492"/>
      <c r="AT163" t="str">
        <f t="shared" si="181"/>
        <v>Infrastructure activities are periodically reviewed</v>
      </c>
      <c r="AU163" t="str">
        <f t="shared" si="198"/>
        <v>References</v>
      </c>
      <c r="AV163" t="str">
        <f t="shared" si="213"/>
        <v>2.3.5.RX</v>
      </c>
      <c r="AW163" t="str">
        <f>IF(AND(AS163&lt;&gt;"",LEFT(AS163,1)&lt;&gt;"#"),IF(LEFT(AS163,1)="-",REPLACE(AS163,1,1,tech!$H$2),AS163),"")</f>
        <v/>
      </c>
      <c r="AX163" t="s">
        <v>495</v>
      </c>
      <c r="AY163" s="492"/>
      <c r="AZ163" t="str">
        <f t="shared" si="182"/>
        <v>Change management and agility is periodically reviewed</v>
      </c>
      <c r="BA163" t="str">
        <f t="shared" si="199"/>
        <v>References</v>
      </c>
      <c r="BB163" t="str">
        <f t="shared" si="214"/>
        <v>2.4.5.RX</v>
      </c>
      <c r="BC163" t="str">
        <f>IF(AND(AY163&lt;&gt;"",LEFT(AY163,1)&lt;&gt;"#"),IF(LEFT(AY163,1)="-",REPLACE(AY163,1,1,tech!$H$2),AY163),"")</f>
        <v/>
      </c>
      <c r="BD163" t="s">
        <v>495</v>
      </c>
      <c r="BE163" s="492" t="s">
        <v>768</v>
      </c>
      <c r="BF163" t="str">
        <f t="shared" si="183"/>
        <v>Continual review and improvement</v>
      </c>
      <c r="BG163" t="str">
        <f t="shared" si="200"/>
        <v>Assessment</v>
      </c>
      <c r="BH163" t="str">
        <f t="shared" si="215"/>
        <v>3.1.6.AY</v>
      </c>
      <c r="BI163" t="str">
        <f>IF(AND(BE163&lt;&gt;"",LEFT(BE163,1)&lt;&gt;"#"),IF(LEFT(BE163,1)="-",REPLACE(BE163,1,1,tech!$H$2),BE163),"")</f>
        <v>• implementation of Review process</v>
      </c>
      <c r="BJ163" t="s">
        <v>495</v>
      </c>
      <c r="BK163" s="492"/>
      <c r="BL163" t="str">
        <f t="shared" si="184"/>
        <v>Adoption and application of open standards</v>
      </c>
      <c r="BM163" t="str">
        <f t="shared" si="201"/>
        <v>References</v>
      </c>
      <c r="BN163" t="str">
        <f t="shared" si="216"/>
        <v>3.2.3.RX</v>
      </c>
      <c r="BO163" t="str">
        <f>IF(AND(BK163&lt;&gt;"",LEFT(BK163,1)&lt;&gt;"#"),IF(LEFT(BK163,1)="-",REPLACE(BK163,1,1,tech!$H$2),BK163),"")</f>
        <v/>
      </c>
      <c r="BP163" t="s">
        <v>495</v>
      </c>
      <c r="BQ163" s="492" t="s">
        <v>1209</v>
      </c>
      <c r="BR163" t="str">
        <f t="shared" si="185"/>
        <v>Review of events and logs is periodically performed</v>
      </c>
      <c r="BS163" t="str">
        <f t="shared" si="202"/>
        <v>Assessment</v>
      </c>
      <c r="BT163" t="str">
        <f t="shared" si="217"/>
        <v>3.3.6.AY</v>
      </c>
      <c r="BU163" t="str">
        <f>IF(AND(BQ163&lt;&gt;"",LEFT(BQ163,1)&lt;&gt;"#"),IF(LEFT(BQ163,1)="-",REPLACE(BQ163,1,1,tech!$H$2),BQ163),"")</f>
        <v>• Interview with personnel responsible for Review of logs and events</v>
      </c>
      <c r="BV163" t="s">
        <v>495</v>
      </c>
      <c r="BW163" s="492"/>
      <c r="BX163" t="str">
        <f t="shared" si="186"/>
        <v>Incidents and exceptions handling</v>
      </c>
      <c r="BY163" t="str">
        <f t="shared" si="203"/>
        <v>References</v>
      </c>
      <c r="BZ163" t="str">
        <f t="shared" si="218"/>
        <v>3.4.3.RX</v>
      </c>
      <c r="CA163" t="str">
        <f>IF(AND(BW163&lt;&gt;"",LEFT(BW163,1)&lt;&gt;"#"),IF(LEFT(BW163,1)="-",REPLACE(BW163,1,1,tech!$H$2),BW163),"")</f>
        <v/>
      </c>
      <c r="CB163" t="s">
        <v>495</v>
      </c>
      <c r="CC163" s="492"/>
      <c r="CD163" t="str">
        <f t="shared" si="187"/>
        <v>Resources are periodically reviewed</v>
      </c>
      <c r="CE163" t="str">
        <f t="shared" si="204"/>
        <v>References</v>
      </c>
      <c r="CF163" t="str">
        <f t="shared" si="219"/>
        <v>4.1.4.RX</v>
      </c>
      <c r="CG163" t="str">
        <f>IF(AND(CC163&lt;&gt;"",LEFT(CC163,1)&lt;&gt;"#"),IF(LEFT(CC163,1)="-",REPLACE(CC163,1,1,tech!$H$2),CC163),"")</f>
        <v/>
      </c>
      <c r="CH163" t="s">
        <v>495</v>
      </c>
      <c r="CI163" s="492"/>
      <c r="CJ163" t="str">
        <f t="shared" si="188"/>
        <v>Periodically review knowledge</v>
      </c>
      <c r="CK163" t="str">
        <f t="shared" si="205"/>
        <v>References</v>
      </c>
      <c r="CL163" t="str">
        <f t="shared" si="220"/>
        <v>4.2.5.RX</v>
      </c>
      <c r="CM163" t="str">
        <f>IF(AND(CI163&lt;&gt;"",LEFT(CI163,1)&lt;&gt;"#"),IF(LEFT(CI163,1)="-",REPLACE(CI163,1,1,tech!$H$2),CI163),"")</f>
        <v/>
      </c>
      <c r="CN163" t="s">
        <v>495</v>
      </c>
      <c r="CO163" s="492"/>
      <c r="CP163" t="str">
        <f t="shared" si="189"/>
        <v>Timely communication of important information</v>
      </c>
      <c r="CQ163" t="str">
        <f t="shared" si="206"/>
        <v>References</v>
      </c>
      <c r="CR163" t="str">
        <f t="shared" si="221"/>
        <v>4.3.4.RX</v>
      </c>
      <c r="CS163" t="str">
        <f>IF(AND(CO163&lt;&gt;"",LEFT(CO163,1)&lt;&gt;"#"),IF(LEFT(CO163,1)="-",REPLACE(CO163,1,1,tech!$H$2),CO163),"")</f>
        <v/>
      </c>
      <c r="CT163" t="s">
        <v>495</v>
      </c>
    </row>
    <row r="164" spans="15:98" x14ac:dyDescent="0.25">
      <c r="O164" s="492"/>
      <c r="P164" t="str">
        <f t="shared" si="222"/>
        <v>Policies are periodically reviewed and updated</v>
      </c>
      <c r="Q164" t="str">
        <f t="shared" si="223"/>
        <v>References</v>
      </c>
      <c r="R164" t="str">
        <f t="shared" si="224"/>
        <v>1.2.5.RX</v>
      </c>
      <c r="S164" t="str">
        <f>IF(AND(O164&lt;&gt;"",LEFT(O164,1)&lt;&gt;"#"),IF(LEFT(O164,1)="-",REPLACE(O164,1,1,tech!$H$2),O164),"")</f>
        <v/>
      </c>
      <c r="T164" t="s">
        <v>495</v>
      </c>
      <c r="U164" s="492"/>
      <c r="V164" t="str">
        <f t="shared" si="225"/>
        <v>List of relevant laws, regulations, and standards, exist and is maintained</v>
      </c>
      <c r="W164" t="str">
        <f t="shared" si="226"/>
        <v>References</v>
      </c>
      <c r="X164" t="str">
        <f t="shared" si="227"/>
        <v>1.3.4.RX</v>
      </c>
      <c r="Y164" t="str">
        <f>IF(AND(U164&lt;&gt;"",LEFT(U164,1)&lt;&gt;"#"),IF(LEFT(U164,1)="-",REPLACE(U164,1,1,tech!$H$2),U164),"")</f>
        <v/>
      </c>
      <c r="Z164" t="s">
        <v>495</v>
      </c>
      <c r="AA164" s="492"/>
      <c r="AB164" t="str">
        <f t="shared" si="228"/>
        <v>Processes and procedures are reviewed and updated</v>
      </c>
      <c r="AC164" t="str">
        <f t="shared" si="229"/>
        <v>References</v>
      </c>
      <c r="AD164" t="str">
        <f t="shared" si="230"/>
        <v>1.4.5.RX</v>
      </c>
      <c r="AE164" t="str">
        <f>IF(AND(AA164&lt;&gt;"",LEFT(AA164,1)&lt;&gt;"#"),IF(LEFT(AA164,1)="-",REPLACE(AA164,1,1,tech!$H$2),AA164),"")</f>
        <v/>
      </c>
      <c r="AF164" t="s">
        <v>495</v>
      </c>
      <c r="AG164" s="492"/>
      <c r="AH164" t="str">
        <f t="shared" si="231"/>
        <v>Key management is periodically reviewed and updated</v>
      </c>
      <c r="AI164" t="str">
        <f t="shared" si="232"/>
        <v>References</v>
      </c>
      <c r="AJ164" t="str">
        <f t="shared" si="233"/>
        <v>2.1.6.RX</v>
      </c>
      <c r="AK164" t="str">
        <f>IF(AND(AG164&lt;&gt;"",LEFT(AG164,1)&lt;&gt;"#"),IF(LEFT(AG164,1)="-",REPLACE(AG164,1,1,tech!$H$2),AG164),"")</f>
        <v/>
      </c>
      <c r="AL164" t="s">
        <v>495</v>
      </c>
      <c r="AM164" s="492" t="s">
        <v>864</v>
      </c>
      <c r="AN164" t="str">
        <f t="shared" si="180"/>
        <v>Certificate discovery process is documented</v>
      </c>
      <c r="AO164" t="str">
        <f t="shared" si="197"/>
        <v>Assessment</v>
      </c>
      <c r="AP164" t="str">
        <f t="shared" si="212"/>
        <v>2.2.5.AY</v>
      </c>
      <c r="AQ164" t="str">
        <f>IF(AND(AM164&lt;&gt;"",LEFT(AM164,1)&lt;&gt;"#"),IF(LEFT(AM164,1)="-",REPLACE(AM164,1,1,tech!$H$2),AM164),"")</f>
        <v>* Certificate inventory is updated with discovered certificates</v>
      </c>
      <c r="AR164" t="s">
        <v>495</v>
      </c>
      <c r="AS164" s="492"/>
      <c r="AT164" t="str">
        <f t="shared" si="181"/>
        <v>Infrastructure activities are periodically reviewed</v>
      </c>
      <c r="AU164" t="str">
        <f t="shared" si="198"/>
        <v>References</v>
      </c>
      <c r="AV164" t="str">
        <f t="shared" si="213"/>
        <v>2.3.5.RX</v>
      </c>
      <c r="AW164" t="str">
        <f>IF(AND(AS164&lt;&gt;"",LEFT(AS164,1)&lt;&gt;"#"),IF(LEFT(AS164,1)="-",REPLACE(AS164,1,1,tech!$H$2),AS164),"")</f>
        <v/>
      </c>
      <c r="AX164" t="s">
        <v>495</v>
      </c>
      <c r="AY164" s="492"/>
      <c r="AZ164" t="str">
        <f t="shared" si="182"/>
        <v>Change management and agility is periodically reviewed</v>
      </c>
      <c r="BA164" t="str">
        <f t="shared" si="199"/>
        <v>References</v>
      </c>
      <c r="BB164" t="str">
        <f t="shared" si="214"/>
        <v>2.4.5.RX</v>
      </c>
      <c r="BC164" t="str">
        <f>IF(AND(AY164&lt;&gt;"",LEFT(AY164,1)&lt;&gt;"#"),IF(LEFT(AY164,1)="-",REPLACE(AY164,1,1,tech!$H$2),AY164),"")</f>
        <v/>
      </c>
      <c r="BD164" t="s">
        <v>495</v>
      </c>
      <c r="BE164" s="492" t="s">
        <v>598</v>
      </c>
      <c r="BF164" t="str">
        <f t="shared" si="183"/>
        <v>Continual review and improvement</v>
      </c>
      <c r="BG164" t="str">
        <f t="shared" si="200"/>
        <v>Assessment</v>
      </c>
      <c r="BH164" t="str">
        <f t="shared" si="215"/>
        <v>3.1.6.AY</v>
      </c>
      <c r="BI164" t="str">
        <f>IF(AND(BE164&lt;&gt;"",LEFT(BE164,1)&lt;&gt;"#"),IF(LEFT(BE164,1)="-",REPLACE(BE164,1,1,tech!$H$2),BE164),"")</f>
        <v>• Validation of documentation and reviews</v>
      </c>
      <c r="BJ164" t="s">
        <v>495</v>
      </c>
      <c r="BK164" s="492"/>
      <c r="BL164" t="str">
        <f t="shared" si="184"/>
        <v>Adoption and application of open standards</v>
      </c>
      <c r="BM164" t="str">
        <f t="shared" si="201"/>
        <v>References</v>
      </c>
      <c r="BN164" t="str">
        <f t="shared" si="216"/>
        <v>3.2.3.RX</v>
      </c>
      <c r="BO164" t="str">
        <f>IF(AND(BK164&lt;&gt;"",LEFT(BK164,1)&lt;&gt;"#"),IF(LEFT(BK164,1)="-",REPLACE(BK164,1,1,tech!$H$2),BK164),"")</f>
        <v/>
      </c>
      <c r="BP164" t="s">
        <v>495</v>
      </c>
      <c r="BQ164" s="492"/>
      <c r="BR164" t="str">
        <f t="shared" si="185"/>
        <v>Review of events and logs is periodically performed</v>
      </c>
      <c r="BS164" t="str">
        <f t="shared" si="202"/>
        <v>Assessment</v>
      </c>
      <c r="BT164" t="str">
        <f t="shared" si="217"/>
        <v>3.3.6.AX</v>
      </c>
      <c r="BU164" t="str">
        <f>IF(AND(BQ164&lt;&gt;"",LEFT(BQ164,1)&lt;&gt;"#"),IF(LEFT(BQ164,1)="-",REPLACE(BQ164,1,1,tech!$H$2),BQ164),"")</f>
        <v/>
      </c>
      <c r="BV164" t="s">
        <v>495</v>
      </c>
      <c r="BW164" s="492"/>
      <c r="BX164" t="str">
        <f t="shared" si="186"/>
        <v>Incidents and exceptions handling</v>
      </c>
      <c r="BY164" t="str">
        <f t="shared" si="203"/>
        <v>References</v>
      </c>
      <c r="BZ164" t="str">
        <f t="shared" si="218"/>
        <v>3.4.3.RX</v>
      </c>
      <c r="CA164" t="str">
        <f>IF(AND(BW164&lt;&gt;"",LEFT(BW164,1)&lt;&gt;"#"),IF(LEFT(BW164,1)="-",REPLACE(BW164,1,1,tech!$H$2),BW164),"")</f>
        <v/>
      </c>
      <c r="CB164" t="s">
        <v>495</v>
      </c>
      <c r="CC164" s="492"/>
      <c r="CD164" t="str">
        <f t="shared" si="187"/>
        <v>Resources are periodically reviewed</v>
      </c>
      <c r="CE164" t="str">
        <f t="shared" si="204"/>
        <v>References</v>
      </c>
      <c r="CF164" t="str">
        <f t="shared" si="219"/>
        <v>4.1.4.RX</v>
      </c>
      <c r="CG164" t="str">
        <f>IF(AND(CC164&lt;&gt;"",LEFT(CC164,1)&lt;&gt;"#"),IF(LEFT(CC164,1)="-",REPLACE(CC164,1,1,tech!$H$2),CC164),"")</f>
        <v/>
      </c>
      <c r="CH164" t="s">
        <v>495</v>
      </c>
      <c r="CI164" s="492"/>
      <c r="CJ164" t="str">
        <f t="shared" si="188"/>
        <v>Periodically review knowledge</v>
      </c>
      <c r="CK164" t="str">
        <f t="shared" si="205"/>
        <v>References</v>
      </c>
      <c r="CL164" t="str">
        <f t="shared" si="220"/>
        <v>4.2.5.RX</v>
      </c>
      <c r="CM164" t="str">
        <f>IF(AND(CI164&lt;&gt;"",LEFT(CI164,1)&lt;&gt;"#"),IF(LEFT(CI164,1)="-",REPLACE(CI164,1,1,tech!$H$2),CI164),"")</f>
        <v/>
      </c>
      <c r="CN164" t="s">
        <v>495</v>
      </c>
      <c r="CO164" s="492"/>
      <c r="CP164" t="str">
        <f t="shared" si="189"/>
        <v>Timely communication of important information</v>
      </c>
      <c r="CQ164" t="str">
        <f t="shared" si="206"/>
        <v>References</v>
      </c>
      <c r="CR164" t="str">
        <f t="shared" si="221"/>
        <v>4.3.4.RX</v>
      </c>
      <c r="CS164" t="str">
        <f>IF(AND(CO164&lt;&gt;"",LEFT(CO164,1)&lt;&gt;"#"),IF(LEFT(CO164,1)="-",REPLACE(CO164,1,1,tech!$H$2),CO164),"")</f>
        <v/>
      </c>
      <c r="CT164" t="s">
        <v>495</v>
      </c>
    </row>
    <row r="165" spans="15:98" x14ac:dyDescent="0.25">
      <c r="O165" s="492"/>
      <c r="P165" t="str">
        <f t="shared" si="222"/>
        <v>Policies are periodically reviewed and updated</v>
      </c>
      <c r="Q165" t="str">
        <f t="shared" si="223"/>
        <v>References</v>
      </c>
      <c r="R165" t="str">
        <f t="shared" si="224"/>
        <v>1.2.5.RX</v>
      </c>
      <c r="S165" t="str">
        <f>IF(AND(O165&lt;&gt;"",LEFT(O165,1)&lt;&gt;"#"),IF(LEFT(O165,1)="-",REPLACE(O165,1,1,tech!$H$2),O165),"")</f>
        <v/>
      </c>
      <c r="T165" t="s">
        <v>495</v>
      </c>
      <c r="U165" s="492"/>
      <c r="V165" t="str">
        <f t="shared" si="225"/>
        <v>List of relevant laws, regulations, and standards, exist and is maintained</v>
      </c>
      <c r="W165" t="str">
        <f t="shared" si="226"/>
        <v>References</v>
      </c>
      <c r="X165" t="str">
        <f t="shared" si="227"/>
        <v>1.3.4.RX</v>
      </c>
      <c r="Y165" t="str">
        <f>IF(AND(U165&lt;&gt;"",LEFT(U165,1)&lt;&gt;"#"),IF(LEFT(U165,1)="-",REPLACE(U165,1,1,tech!$H$2),U165),"")</f>
        <v/>
      </c>
      <c r="Z165" t="s">
        <v>495</v>
      </c>
      <c r="AA165" s="492"/>
      <c r="AB165" t="str">
        <f t="shared" si="228"/>
        <v>Processes and procedures are reviewed and updated</v>
      </c>
      <c r="AC165" t="str">
        <f t="shared" si="229"/>
        <v>References</v>
      </c>
      <c r="AD165" t="str">
        <f t="shared" si="230"/>
        <v>1.4.5.RX</v>
      </c>
      <c r="AE165" t="str">
        <f>IF(AND(AA165&lt;&gt;"",LEFT(AA165,1)&lt;&gt;"#"),IF(LEFT(AA165,1)="-",REPLACE(AA165,1,1,tech!$H$2),AA165),"")</f>
        <v/>
      </c>
      <c r="AF165" t="s">
        <v>495</v>
      </c>
      <c r="AG165" s="492"/>
      <c r="AH165" t="str">
        <f t="shared" si="231"/>
        <v>Key management is periodically reviewed and updated</v>
      </c>
      <c r="AI165" t="str">
        <f t="shared" si="232"/>
        <v>References</v>
      </c>
      <c r="AJ165" t="str">
        <f t="shared" si="233"/>
        <v>2.1.6.RX</v>
      </c>
      <c r="AK165" t="str">
        <f>IF(AND(AG165&lt;&gt;"",LEFT(AG165,1)&lt;&gt;"#"),IF(LEFT(AG165,1)="-",REPLACE(AG165,1,1,tech!$H$2),AG165),"")</f>
        <v/>
      </c>
      <c r="AL165" t="s">
        <v>495</v>
      </c>
      <c r="AM165" s="492"/>
      <c r="AN165" t="str">
        <f t="shared" si="180"/>
        <v>Certificate discovery process is documented</v>
      </c>
      <c r="AO165" t="str">
        <f t="shared" si="197"/>
        <v>Assessment</v>
      </c>
      <c r="AP165" t="str">
        <f t="shared" si="212"/>
        <v>2.2.5.AX</v>
      </c>
      <c r="AQ165" t="str">
        <f>IF(AND(AM165&lt;&gt;"",LEFT(AM165,1)&lt;&gt;"#"),IF(LEFT(AM165,1)="-",REPLACE(AM165,1,1,tech!$H$2),AM165),"")</f>
        <v/>
      </c>
      <c r="AR165" t="s">
        <v>495</v>
      </c>
      <c r="AS165" s="492"/>
      <c r="AT165" t="str">
        <f t="shared" si="181"/>
        <v>Infrastructure activities are periodically reviewed</v>
      </c>
      <c r="AU165" t="str">
        <f t="shared" si="198"/>
        <v>References</v>
      </c>
      <c r="AV165" t="str">
        <f t="shared" si="213"/>
        <v>2.3.5.RX</v>
      </c>
      <c r="AW165" t="str">
        <f>IF(AND(AS165&lt;&gt;"",LEFT(AS165,1)&lt;&gt;"#"),IF(LEFT(AS165,1)="-",REPLACE(AS165,1,1,tech!$H$2),AS165),"")</f>
        <v/>
      </c>
      <c r="AX165" t="s">
        <v>495</v>
      </c>
      <c r="AY165" s="492"/>
      <c r="AZ165" t="str">
        <f t="shared" si="182"/>
        <v>Change management and agility is periodically reviewed</v>
      </c>
      <c r="BA165" t="str">
        <f t="shared" si="199"/>
        <v>References</v>
      </c>
      <c r="BB165" t="str">
        <f t="shared" si="214"/>
        <v>2.4.5.RX</v>
      </c>
      <c r="BC165" t="str">
        <f>IF(AND(AY165&lt;&gt;"",LEFT(AY165,1)&lt;&gt;"#"),IF(LEFT(AY165,1)="-",REPLACE(AY165,1,1,tech!$H$2),AY165),"")</f>
        <v/>
      </c>
      <c r="BD165" t="s">
        <v>495</v>
      </c>
      <c r="BE165" s="492" t="s">
        <v>1087</v>
      </c>
      <c r="BF165" t="str">
        <f t="shared" si="183"/>
        <v>Continual review and improvement</v>
      </c>
      <c r="BG165" t="str">
        <f t="shared" si="200"/>
        <v>Assessment</v>
      </c>
      <c r="BH165" t="str">
        <f t="shared" si="215"/>
        <v>3.1.6.AY</v>
      </c>
      <c r="BI165" t="str">
        <f>IF(AND(BE165&lt;&gt;"",LEFT(BE165,1)&lt;&gt;"#"),IF(LEFT(BE165,1)="-",REPLACE(BE165,1,1,tech!$H$2),BE165),"")</f>
        <v>• Training records</v>
      </c>
      <c r="BJ165" t="s">
        <v>495</v>
      </c>
      <c r="BK165" s="492"/>
      <c r="BL165" t="str">
        <f t="shared" si="184"/>
        <v>Adoption and application of open standards</v>
      </c>
      <c r="BM165" t="str">
        <f t="shared" si="201"/>
        <v>References</v>
      </c>
      <c r="BN165" t="str">
        <f t="shared" si="216"/>
        <v>3.2.3.RX</v>
      </c>
      <c r="BO165" t="str">
        <f>IF(AND(BK165&lt;&gt;"",LEFT(BK165,1)&lt;&gt;"#"),IF(LEFT(BK165,1)="-",REPLACE(BK165,1,1,tech!$H$2),BK165),"")</f>
        <v/>
      </c>
      <c r="BP165" t="s">
        <v>495</v>
      </c>
      <c r="BQ165" s="492" t="s">
        <v>503</v>
      </c>
      <c r="BR165" t="str">
        <f t="shared" si="185"/>
        <v>Review of events and logs is periodically performed</v>
      </c>
      <c r="BS165" t="str">
        <f t="shared" si="202"/>
        <v>References</v>
      </c>
      <c r="BT165" t="str">
        <f t="shared" si="217"/>
        <v>3.3.6.RX</v>
      </c>
      <c r="BU165" t="str">
        <f>IF(AND(BQ165&lt;&gt;"",LEFT(BQ165,1)&lt;&gt;"#"),IF(LEFT(BQ165,1)="-",REPLACE(BQ165,1,1,tech!$H$2),BQ165),"")</f>
        <v/>
      </c>
      <c r="BV165" t="s">
        <v>495</v>
      </c>
      <c r="BW165" s="492"/>
      <c r="BX165" t="str">
        <f t="shared" si="186"/>
        <v>Incidents and exceptions handling</v>
      </c>
      <c r="BY165" t="str">
        <f t="shared" si="203"/>
        <v>References</v>
      </c>
      <c r="BZ165" t="str">
        <f t="shared" si="218"/>
        <v>3.4.3.RX</v>
      </c>
      <c r="CA165" t="str">
        <f>IF(AND(BW165&lt;&gt;"",LEFT(BW165,1)&lt;&gt;"#"),IF(LEFT(BW165,1)="-",REPLACE(BW165,1,1,tech!$H$2),BW165),"")</f>
        <v/>
      </c>
      <c r="CB165" t="s">
        <v>495</v>
      </c>
      <c r="CC165" s="492"/>
      <c r="CD165" t="str">
        <f t="shared" si="187"/>
        <v>Resources are periodically reviewed</v>
      </c>
      <c r="CE165" t="str">
        <f t="shared" si="204"/>
        <v>References</v>
      </c>
      <c r="CF165" t="str">
        <f t="shared" si="219"/>
        <v>4.1.4.RX</v>
      </c>
      <c r="CG165" t="str">
        <f>IF(AND(CC165&lt;&gt;"",LEFT(CC165,1)&lt;&gt;"#"),IF(LEFT(CC165,1)="-",REPLACE(CC165,1,1,tech!$H$2),CC165),"")</f>
        <v/>
      </c>
      <c r="CH165" t="s">
        <v>495</v>
      </c>
      <c r="CI165" s="492"/>
      <c r="CJ165" t="str">
        <f t="shared" si="188"/>
        <v>Periodically review knowledge</v>
      </c>
      <c r="CK165" t="str">
        <f t="shared" si="205"/>
        <v>References</v>
      </c>
      <c r="CL165" t="str">
        <f t="shared" si="220"/>
        <v>4.2.5.RX</v>
      </c>
      <c r="CM165" t="str">
        <f>IF(AND(CI165&lt;&gt;"",LEFT(CI165,1)&lt;&gt;"#"),IF(LEFT(CI165,1)="-",REPLACE(CI165,1,1,tech!$H$2),CI165),"")</f>
        <v/>
      </c>
      <c r="CN165" t="s">
        <v>495</v>
      </c>
      <c r="CO165" s="492"/>
      <c r="CP165" t="str">
        <f t="shared" si="189"/>
        <v>Timely communication of important information</v>
      </c>
      <c r="CQ165" t="str">
        <f t="shared" si="206"/>
        <v>References</v>
      </c>
      <c r="CR165" t="str">
        <f t="shared" si="221"/>
        <v>4.3.4.RX</v>
      </c>
      <c r="CS165" t="str">
        <f>IF(AND(CO165&lt;&gt;"",LEFT(CO165,1)&lt;&gt;"#"),IF(LEFT(CO165,1)="-",REPLACE(CO165,1,1,tech!$H$2),CO165),"")</f>
        <v/>
      </c>
      <c r="CT165" t="s">
        <v>495</v>
      </c>
    </row>
    <row r="166" spans="15:98" x14ac:dyDescent="0.25">
      <c r="O166" s="492"/>
      <c r="P166" t="str">
        <f t="shared" si="222"/>
        <v>Policies are periodically reviewed and updated</v>
      </c>
      <c r="Q166" t="str">
        <f t="shared" si="223"/>
        <v>References</v>
      </c>
      <c r="R166" t="str">
        <f t="shared" si="224"/>
        <v>1.2.5.RX</v>
      </c>
      <c r="S166" t="str">
        <f>IF(AND(O166&lt;&gt;"",LEFT(O166,1)&lt;&gt;"#"),IF(LEFT(O166,1)="-",REPLACE(O166,1,1,tech!$H$2),O166),"")</f>
        <v/>
      </c>
      <c r="T166" t="s">
        <v>495</v>
      </c>
      <c r="U166" s="492"/>
      <c r="V166" t="str">
        <f t="shared" si="225"/>
        <v>List of relevant laws, regulations, and standards, exist and is maintained</v>
      </c>
      <c r="W166" t="str">
        <f t="shared" si="226"/>
        <v>References</v>
      </c>
      <c r="X166" t="str">
        <f t="shared" si="227"/>
        <v>1.3.4.RX</v>
      </c>
      <c r="Y166" t="str">
        <f>IF(AND(U166&lt;&gt;"",LEFT(U166,1)&lt;&gt;"#"),IF(LEFT(U166,1)="-",REPLACE(U166,1,1,tech!$H$2),U166),"")</f>
        <v/>
      </c>
      <c r="Z166" t="s">
        <v>495</v>
      </c>
      <c r="AA166" s="492"/>
      <c r="AB166" t="str">
        <f t="shared" si="228"/>
        <v>Processes and procedures are reviewed and updated</v>
      </c>
      <c r="AC166" t="str">
        <f t="shared" si="229"/>
        <v>References</v>
      </c>
      <c r="AD166" t="str">
        <f t="shared" si="230"/>
        <v>1.4.5.RX</v>
      </c>
      <c r="AE166" t="str">
        <f>IF(AND(AA166&lt;&gt;"",LEFT(AA166,1)&lt;&gt;"#"),IF(LEFT(AA166,1)="-",REPLACE(AA166,1,1,tech!$H$2),AA166),"")</f>
        <v/>
      </c>
      <c r="AF166" t="s">
        <v>495</v>
      </c>
      <c r="AG166" s="492"/>
      <c r="AH166" t="str">
        <f t="shared" si="231"/>
        <v>Key management is periodically reviewed and updated</v>
      </c>
      <c r="AI166" t="str">
        <f t="shared" si="232"/>
        <v>References</v>
      </c>
      <c r="AJ166" t="str">
        <f t="shared" si="233"/>
        <v>2.1.6.RX</v>
      </c>
      <c r="AK166" t="str">
        <f>IF(AND(AG166&lt;&gt;"",LEFT(AG166,1)&lt;&gt;"#"),IF(LEFT(AG166,1)="-",REPLACE(AG166,1,1,tech!$H$2),AG166),"")</f>
        <v/>
      </c>
      <c r="AL166" t="s">
        <v>495</v>
      </c>
      <c r="AM166" s="492" t="s">
        <v>503</v>
      </c>
      <c r="AN166" t="str">
        <f t="shared" si="180"/>
        <v>Certificate discovery process is documented</v>
      </c>
      <c r="AO166" t="str">
        <f t="shared" si="197"/>
        <v>References</v>
      </c>
      <c r="AP166" t="str">
        <f t="shared" si="212"/>
        <v>2.2.5.RX</v>
      </c>
      <c r="AQ166" t="str">
        <f>IF(AND(AM166&lt;&gt;"",LEFT(AM166,1)&lt;&gt;"#"),IF(LEFT(AM166,1)="-",REPLACE(AM166,1,1,tech!$H$2),AM166),"")</f>
        <v/>
      </c>
      <c r="AR166" t="s">
        <v>495</v>
      </c>
      <c r="AS166" s="492"/>
      <c r="AT166" t="str">
        <f t="shared" si="181"/>
        <v>Infrastructure activities are periodically reviewed</v>
      </c>
      <c r="AU166" t="str">
        <f t="shared" si="198"/>
        <v>References</v>
      </c>
      <c r="AV166" t="str">
        <f t="shared" si="213"/>
        <v>2.3.5.RX</v>
      </c>
      <c r="AW166" t="str">
        <f>IF(AND(AS166&lt;&gt;"",LEFT(AS166,1)&lt;&gt;"#"),IF(LEFT(AS166,1)="-",REPLACE(AS166,1,1,tech!$H$2),AS166),"")</f>
        <v/>
      </c>
      <c r="AX166" t="s">
        <v>495</v>
      </c>
      <c r="AY166" s="492"/>
      <c r="AZ166" t="str">
        <f t="shared" si="182"/>
        <v>Change management and agility is periodically reviewed</v>
      </c>
      <c r="BA166" t="str">
        <f t="shared" si="199"/>
        <v>References</v>
      </c>
      <c r="BB166" t="str">
        <f t="shared" si="214"/>
        <v>2.4.5.RX</v>
      </c>
      <c r="BC166" t="str">
        <f>IF(AND(AY166&lt;&gt;"",LEFT(AY166,1)&lt;&gt;"#"),IF(LEFT(AY166,1)="-",REPLACE(AY166,1,1,tech!$H$2),AY166),"")</f>
        <v/>
      </c>
      <c r="BD166" t="s">
        <v>495</v>
      </c>
      <c r="BE166" s="492"/>
      <c r="BF166" t="str">
        <f t="shared" si="183"/>
        <v>Continual review and improvement</v>
      </c>
      <c r="BG166" t="str">
        <f t="shared" si="200"/>
        <v>Assessment</v>
      </c>
      <c r="BH166" t="str">
        <f t="shared" si="215"/>
        <v>3.1.6.AX</v>
      </c>
      <c r="BI166" t="str">
        <f>IF(AND(BE166&lt;&gt;"",LEFT(BE166,1)&lt;&gt;"#"),IF(LEFT(BE166,1)="-",REPLACE(BE166,1,1,tech!$H$2),BE166),"")</f>
        <v/>
      </c>
      <c r="BJ166" t="s">
        <v>495</v>
      </c>
      <c r="BK166" s="492"/>
      <c r="BL166" t="str">
        <f t="shared" si="184"/>
        <v>Adoption and application of open standards</v>
      </c>
      <c r="BM166" t="str">
        <f t="shared" si="201"/>
        <v>References</v>
      </c>
      <c r="BN166" t="str">
        <f t="shared" si="216"/>
        <v>3.2.3.RX</v>
      </c>
      <c r="BO166" t="str">
        <f>IF(AND(BK166&lt;&gt;"",LEFT(BK166,1)&lt;&gt;"#"),IF(LEFT(BK166,1)="-",REPLACE(BK166,1,1,tech!$H$2),BK166),"")</f>
        <v/>
      </c>
      <c r="BP166" t="s">
        <v>495</v>
      </c>
      <c r="BQ166" s="492"/>
      <c r="BR166" t="str">
        <f t="shared" si="185"/>
        <v>Review of events and logs is periodically performed</v>
      </c>
      <c r="BS166" t="str">
        <f t="shared" si="202"/>
        <v>References</v>
      </c>
      <c r="BT166" t="str">
        <f t="shared" si="217"/>
        <v>3.3.6.RX</v>
      </c>
      <c r="BU166" t="str">
        <f>IF(AND(BQ166&lt;&gt;"",LEFT(BQ166,1)&lt;&gt;"#"),IF(LEFT(BQ166,1)="-",REPLACE(BQ166,1,1,tech!$H$2),BQ166),"")</f>
        <v/>
      </c>
      <c r="BV166" t="s">
        <v>495</v>
      </c>
      <c r="BW166" s="492"/>
      <c r="BX166" t="str">
        <f t="shared" si="186"/>
        <v>Incidents and exceptions handling</v>
      </c>
      <c r="BY166" t="str">
        <f t="shared" si="203"/>
        <v>References</v>
      </c>
      <c r="BZ166" t="str">
        <f t="shared" si="218"/>
        <v>3.4.3.RX</v>
      </c>
      <c r="CA166" t="str">
        <f>IF(AND(BW166&lt;&gt;"",LEFT(BW166,1)&lt;&gt;"#"),IF(LEFT(BW166,1)="-",REPLACE(BW166,1,1,tech!$H$2),BW166),"")</f>
        <v/>
      </c>
      <c r="CB166" t="s">
        <v>495</v>
      </c>
      <c r="CC166" s="492"/>
      <c r="CD166" t="str">
        <f t="shared" si="187"/>
        <v>Resources are periodically reviewed</v>
      </c>
      <c r="CE166" t="str">
        <f t="shared" si="204"/>
        <v>References</v>
      </c>
      <c r="CF166" t="str">
        <f t="shared" si="219"/>
        <v>4.1.4.RX</v>
      </c>
      <c r="CG166" t="str">
        <f>IF(AND(CC166&lt;&gt;"",LEFT(CC166,1)&lt;&gt;"#"),IF(LEFT(CC166,1)="-",REPLACE(CC166,1,1,tech!$H$2),CC166),"")</f>
        <v/>
      </c>
      <c r="CH166" t="s">
        <v>495</v>
      </c>
      <c r="CI166" s="492"/>
      <c r="CJ166" t="str">
        <f t="shared" si="188"/>
        <v>Periodically review knowledge</v>
      </c>
      <c r="CK166" t="str">
        <f t="shared" si="205"/>
        <v>References</v>
      </c>
      <c r="CL166" t="str">
        <f t="shared" si="220"/>
        <v>4.2.5.RX</v>
      </c>
      <c r="CM166" t="str">
        <f>IF(AND(CI166&lt;&gt;"",LEFT(CI166,1)&lt;&gt;"#"),IF(LEFT(CI166,1)="-",REPLACE(CI166,1,1,tech!$H$2),CI166),"")</f>
        <v/>
      </c>
      <c r="CN166" t="s">
        <v>495</v>
      </c>
      <c r="CO166" s="492"/>
      <c r="CP166" t="str">
        <f t="shared" si="189"/>
        <v>Timely communication of important information</v>
      </c>
      <c r="CQ166" t="str">
        <f t="shared" si="206"/>
        <v>References</v>
      </c>
      <c r="CR166" t="str">
        <f t="shared" si="221"/>
        <v>4.3.4.RX</v>
      </c>
      <c r="CS166" t="str">
        <f>IF(AND(CO166&lt;&gt;"",LEFT(CO166,1)&lt;&gt;"#"),IF(LEFT(CO166,1)="-",REPLACE(CO166,1,1,tech!$H$2),CO166),"")</f>
        <v/>
      </c>
      <c r="CT166" t="s">
        <v>495</v>
      </c>
    </row>
    <row r="167" spans="15:98" x14ac:dyDescent="0.25">
      <c r="O167" s="492"/>
      <c r="P167" t="str">
        <f t="shared" si="222"/>
        <v>Policies are periodically reviewed and updated</v>
      </c>
      <c r="Q167" t="str">
        <f t="shared" si="223"/>
        <v>References</v>
      </c>
      <c r="R167" t="str">
        <f t="shared" si="224"/>
        <v>1.2.5.RX</v>
      </c>
      <c r="S167" t="str">
        <f>IF(AND(O167&lt;&gt;"",LEFT(O167,1)&lt;&gt;"#"),IF(LEFT(O167,1)="-",REPLACE(O167,1,1,tech!$H$2),O167),"")</f>
        <v/>
      </c>
      <c r="T167" t="s">
        <v>495</v>
      </c>
      <c r="U167" s="492"/>
      <c r="V167" t="str">
        <f t="shared" si="225"/>
        <v>List of relevant laws, regulations, and standards, exist and is maintained</v>
      </c>
      <c r="W167" t="str">
        <f t="shared" si="226"/>
        <v>References</v>
      </c>
      <c r="X167" t="str">
        <f t="shared" si="227"/>
        <v>1.3.4.RX</v>
      </c>
      <c r="Y167" t="str">
        <f>IF(AND(U167&lt;&gt;"",LEFT(U167,1)&lt;&gt;"#"),IF(LEFT(U167,1)="-",REPLACE(U167,1,1,tech!$H$2),U167),"")</f>
        <v/>
      </c>
      <c r="Z167" t="s">
        <v>495</v>
      </c>
      <c r="AA167" s="492"/>
      <c r="AB167" t="str">
        <f t="shared" si="228"/>
        <v>Processes and procedures are reviewed and updated</v>
      </c>
      <c r="AC167" t="str">
        <f t="shared" si="229"/>
        <v>References</v>
      </c>
      <c r="AD167" t="str">
        <f t="shared" si="230"/>
        <v>1.4.5.RX</v>
      </c>
      <c r="AE167" t="str">
        <f>IF(AND(AA167&lt;&gt;"",LEFT(AA167,1)&lt;&gt;"#"),IF(LEFT(AA167,1)="-",REPLACE(AA167,1,1,tech!$H$2),AA167),"")</f>
        <v/>
      </c>
      <c r="AF167" t="s">
        <v>495</v>
      </c>
      <c r="AG167" s="492"/>
      <c r="AH167" t="str">
        <f t="shared" si="231"/>
        <v>Key management is periodically reviewed and updated</v>
      </c>
      <c r="AI167" t="str">
        <f t="shared" si="232"/>
        <v>References</v>
      </c>
      <c r="AJ167" t="str">
        <f t="shared" si="233"/>
        <v>2.1.6.RX</v>
      </c>
      <c r="AK167" t="str">
        <f>IF(AND(AG167&lt;&gt;"",LEFT(AG167,1)&lt;&gt;"#"),IF(LEFT(AG167,1)="-",REPLACE(AG167,1,1,tech!$H$2),AG167),"")</f>
        <v/>
      </c>
      <c r="AL167" t="s">
        <v>495</v>
      </c>
      <c r="AM167" s="492"/>
      <c r="AN167" t="str">
        <f t="shared" si="180"/>
        <v>Certificate discovery process is documented</v>
      </c>
      <c r="AO167" t="str">
        <f t="shared" si="197"/>
        <v>References</v>
      </c>
      <c r="AP167" t="str">
        <f t="shared" si="212"/>
        <v>2.2.5.RX</v>
      </c>
      <c r="AQ167" t="str">
        <f>IF(AND(AM167&lt;&gt;"",LEFT(AM167,1)&lt;&gt;"#"),IF(LEFT(AM167,1)="-",REPLACE(AM167,1,1,tech!$H$2),AM167),"")</f>
        <v/>
      </c>
      <c r="AR167" t="s">
        <v>495</v>
      </c>
      <c r="AS167" s="492"/>
      <c r="AT167" t="str">
        <f t="shared" si="181"/>
        <v>Infrastructure activities are periodically reviewed</v>
      </c>
      <c r="AU167" t="str">
        <f t="shared" si="198"/>
        <v>References</v>
      </c>
      <c r="AV167" t="str">
        <f t="shared" si="213"/>
        <v>2.3.5.RX</v>
      </c>
      <c r="AW167" t="str">
        <f>IF(AND(AS167&lt;&gt;"",LEFT(AS167,1)&lt;&gt;"#"),IF(LEFT(AS167,1)="-",REPLACE(AS167,1,1,tech!$H$2),AS167),"")</f>
        <v/>
      </c>
      <c r="AX167" t="s">
        <v>495</v>
      </c>
      <c r="AY167" s="492"/>
      <c r="AZ167" t="str">
        <f t="shared" si="182"/>
        <v>Change management and agility is periodically reviewed</v>
      </c>
      <c r="BA167" t="str">
        <f t="shared" si="199"/>
        <v>References</v>
      </c>
      <c r="BB167" t="str">
        <f t="shared" si="214"/>
        <v>2.4.5.RX</v>
      </c>
      <c r="BC167" t="str">
        <f>IF(AND(AY167&lt;&gt;"",LEFT(AY167,1)&lt;&gt;"#"),IF(LEFT(AY167,1)="-",REPLACE(AY167,1,1,tech!$H$2),AY167),"")</f>
        <v/>
      </c>
      <c r="BD167" t="s">
        <v>495</v>
      </c>
      <c r="BE167" s="492" t="s">
        <v>503</v>
      </c>
      <c r="BF167" t="str">
        <f t="shared" si="183"/>
        <v>Continual review and improvement</v>
      </c>
      <c r="BG167" t="str">
        <f t="shared" si="200"/>
        <v>References</v>
      </c>
      <c r="BH167" t="str">
        <f t="shared" si="215"/>
        <v>3.1.6.RX</v>
      </c>
      <c r="BI167" t="str">
        <f>IF(AND(BE167&lt;&gt;"",LEFT(BE167,1)&lt;&gt;"#"),IF(LEFT(BE167,1)="-",REPLACE(BE167,1,1,tech!$H$2),BE167),"")</f>
        <v/>
      </c>
      <c r="BJ167" t="s">
        <v>495</v>
      </c>
      <c r="BK167" s="492"/>
      <c r="BL167" t="str">
        <f t="shared" si="184"/>
        <v>Adoption and application of open standards</v>
      </c>
      <c r="BM167" t="str">
        <f t="shared" si="201"/>
        <v>References</v>
      </c>
      <c r="BN167" t="str">
        <f t="shared" si="216"/>
        <v>3.2.3.RX</v>
      </c>
      <c r="BO167" t="str">
        <f>IF(AND(BK167&lt;&gt;"",LEFT(BK167,1)&lt;&gt;"#"),IF(LEFT(BK167,1)="-",REPLACE(BK167,1,1,tech!$H$2),BK167),"")</f>
        <v/>
      </c>
      <c r="BP167" t="s">
        <v>495</v>
      </c>
      <c r="BQ167" s="492" t="s">
        <v>504</v>
      </c>
      <c r="BR167" t="str">
        <f t="shared" si="185"/>
        <v>Review of events and logs is periodically performed</v>
      </c>
      <c r="BS167" t="str">
        <f t="shared" si="202"/>
        <v>References</v>
      </c>
      <c r="BT167" t="str">
        <f t="shared" si="217"/>
        <v>3.3.6.RY</v>
      </c>
      <c r="BU167" t="str">
        <f>IF(AND(BQ167&lt;&gt;"",LEFT(BQ167,1)&lt;&gt;"#"),IF(LEFT(BQ167,1)="-",REPLACE(BQ167,1,1,tech!$H$2),BQ167),"")</f>
        <v>• [ISO/IEC 27001 - Information security management systems](https://www.iso.org/standard/54534.html)</v>
      </c>
      <c r="BV167" t="s">
        <v>495</v>
      </c>
      <c r="BW167" s="492"/>
      <c r="BX167" t="str">
        <f t="shared" si="186"/>
        <v>Incidents and exceptions handling</v>
      </c>
      <c r="BY167" t="str">
        <f t="shared" si="203"/>
        <v>References</v>
      </c>
      <c r="BZ167" t="str">
        <f t="shared" si="218"/>
        <v>3.4.3.RX</v>
      </c>
      <c r="CA167" t="str">
        <f>IF(AND(BW167&lt;&gt;"",LEFT(BW167,1)&lt;&gt;"#"),IF(LEFT(BW167,1)="-",REPLACE(BW167,1,1,tech!$H$2),BW167),"")</f>
        <v/>
      </c>
      <c r="CB167" t="s">
        <v>495</v>
      </c>
      <c r="CC167" s="492"/>
      <c r="CD167" t="str">
        <f t="shared" si="187"/>
        <v>Resources are periodically reviewed</v>
      </c>
      <c r="CE167" t="str">
        <f t="shared" si="204"/>
        <v>References</v>
      </c>
      <c r="CF167" t="str">
        <f t="shared" si="219"/>
        <v>4.1.4.RX</v>
      </c>
      <c r="CG167" t="str">
        <f>IF(AND(CC167&lt;&gt;"",LEFT(CC167,1)&lt;&gt;"#"),IF(LEFT(CC167,1)="-",REPLACE(CC167,1,1,tech!$H$2),CC167),"")</f>
        <v/>
      </c>
      <c r="CH167" t="s">
        <v>495</v>
      </c>
      <c r="CI167" s="492"/>
      <c r="CJ167" t="str">
        <f t="shared" si="188"/>
        <v>Periodically review knowledge</v>
      </c>
      <c r="CK167" t="str">
        <f t="shared" si="205"/>
        <v>References</v>
      </c>
      <c r="CL167" t="str">
        <f t="shared" si="220"/>
        <v>4.2.5.RX</v>
      </c>
      <c r="CM167" t="str">
        <f>IF(AND(CI167&lt;&gt;"",LEFT(CI167,1)&lt;&gt;"#"),IF(LEFT(CI167,1)="-",REPLACE(CI167,1,1,tech!$H$2),CI167),"")</f>
        <v/>
      </c>
      <c r="CN167" t="s">
        <v>495</v>
      </c>
      <c r="CO167" s="492"/>
      <c r="CP167" t="str">
        <f t="shared" si="189"/>
        <v>Timely communication of important information</v>
      </c>
      <c r="CQ167" t="str">
        <f t="shared" si="206"/>
        <v>References</v>
      </c>
      <c r="CR167" t="str">
        <f t="shared" si="221"/>
        <v>4.3.4.RX</v>
      </c>
      <c r="CS167" t="str">
        <f>IF(AND(CO167&lt;&gt;"",LEFT(CO167,1)&lt;&gt;"#"),IF(LEFT(CO167,1)="-",REPLACE(CO167,1,1,tech!$H$2),CO167),"")</f>
        <v/>
      </c>
      <c r="CT167" t="s">
        <v>495</v>
      </c>
    </row>
    <row r="168" spans="15:98" x14ac:dyDescent="0.25">
      <c r="O168" s="492"/>
      <c r="P168" t="str">
        <f t="shared" si="222"/>
        <v>Policies are periodically reviewed and updated</v>
      </c>
      <c r="Q168" t="str">
        <f t="shared" si="223"/>
        <v>References</v>
      </c>
      <c r="R168" t="str">
        <f t="shared" si="224"/>
        <v>1.2.5.RX</v>
      </c>
      <c r="S168" t="str">
        <f>IF(AND(O168&lt;&gt;"",LEFT(O168,1)&lt;&gt;"#"),IF(LEFT(O168,1)="-",REPLACE(O168,1,1,tech!$H$2),O168),"")</f>
        <v/>
      </c>
      <c r="T168" t="s">
        <v>495</v>
      </c>
      <c r="U168" s="492"/>
      <c r="V168" t="str">
        <f t="shared" si="225"/>
        <v>List of relevant laws, regulations, and standards, exist and is maintained</v>
      </c>
      <c r="W168" t="str">
        <f t="shared" si="226"/>
        <v>References</v>
      </c>
      <c r="X168" t="str">
        <f t="shared" si="227"/>
        <v>1.3.4.RX</v>
      </c>
      <c r="Y168" t="str">
        <f>IF(AND(U168&lt;&gt;"",LEFT(U168,1)&lt;&gt;"#"),IF(LEFT(U168,1)="-",REPLACE(U168,1,1,tech!$H$2),U168),"")</f>
        <v/>
      </c>
      <c r="Z168" t="s">
        <v>495</v>
      </c>
      <c r="AA168" s="492"/>
      <c r="AB168" t="str">
        <f t="shared" si="228"/>
        <v>Processes and procedures are reviewed and updated</v>
      </c>
      <c r="AC168" t="str">
        <f t="shared" si="229"/>
        <v>References</v>
      </c>
      <c r="AD168" t="str">
        <f t="shared" si="230"/>
        <v>1.4.5.RX</v>
      </c>
      <c r="AE168" t="str">
        <f>IF(AND(AA168&lt;&gt;"",LEFT(AA168,1)&lt;&gt;"#"),IF(LEFT(AA168,1)="-",REPLACE(AA168,1,1,tech!$H$2),AA168),"")</f>
        <v/>
      </c>
      <c r="AF168" t="s">
        <v>495</v>
      </c>
      <c r="AG168" s="492"/>
      <c r="AH168" t="str">
        <f t="shared" si="231"/>
        <v>Key management is periodically reviewed and updated</v>
      </c>
      <c r="AI168" t="str">
        <f t="shared" si="232"/>
        <v>References</v>
      </c>
      <c r="AJ168" t="str">
        <f t="shared" si="233"/>
        <v>2.1.6.RX</v>
      </c>
      <c r="AK168" t="str">
        <f>IF(AND(AG168&lt;&gt;"",LEFT(AG168,1)&lt;&gt;"#"),IF(LEFT(AG168,1)="-",REPLACE(AG168,1,1,tech!$H$2),AG168),"")</f>
        <v/>
      </c>
      <c r="AL168" t="s">
        <v>495</v>
      </c>
      <c r="AM168" s="492" t="s">
        <v>865</v>
      </c>
      <c r="AN168" t="str">
        <f t="shared" si="180"/>
        <v>Certificate management is periodically reviewed and updated</v>
      </c>
      <c r="AO168" t="str">
        <f t="shared" si="197"/>
        <v>References</v>
      </c>
      <c r="AP168" t="str">
        <f t="shared" si="212"/>
        <v>2.2.6.RX</v>
      </c>
      <c r="AQ168" t="str">
        <f>IF(AND(AM168&lt;&gt;"",LEFT(AM168,1)&lt;&gt;"#"),IF(LEFT(AM168,1)="-",REPLACE(AM168,1,1,tech!$H$2),AM168),"")</f>
        <v/>
      </c>
      <c r="AR168" t="s">
        <v>495</v>
      </c>
      <c r="AS168" s="492"/>
      <c r="AT168" t="str">
        <f t="shared" si="181"/>
        <v>Infrastructure activities are periodically reviewed</v>
      </c>
      <c r="AU168" t="str">
        <f t="shared" si="198"/>
        <v>References</v>
      </c>
      <c r="AV168" t="str">
        <f t="shared" si="213"/>
        <v>2.3.5.RX</v>
      </c>
      <c r="AW168" t="str">
        <f>IF(AND(AS168&lt;&gt;"",LEFT(AS168,1)&lt;&gt;"#"),IF(LEFT(AS168,1)="-",REPLACE(AS168,1,1,tech!$H$2),AS168),"")</f>
        <v/>
      </c>
      <c r="AX168" t="s">
        <v>495</v>
      </c>
      <c r="AY168" s="492"/>
      <c r="AZ168" t="str">
        <f t="shared" si="182"/>
        <v>Change management and agility is periodically reviewed</v>
      </c>
      <c r="BA168" t="str">
        <f t="shared" si="199"/>
        <v>References</v>
      </c>
      <c r="BB168" t="str">
        <f t="shared" si="214"/>
        <v>2.4.5.RX</v>
      </c>
      <c r="BC168" t="str">
        <f>IF(AND(AY168&lt;&gt;"",LEFT(AY168,1)&lt;&gt;"#"),IF(LEFT(AY168,1)="-",REPLACE(AY168,1,1,tech!$H$2),AY168),"")</f>
        <v/>
      </c>
      <c r="BD168" t="s">
        <v>495</v>
      </c>
      <c r="BE168" s="492"/>
      <c r="BF168" t="str">
        <f t="shared" si="183"/>
        <v>Continual review and improvement</v>
      </c>
      <c r="BG168" t="str">
        <f t="shared" si="200"/>
        <v>References</v>
      </c>
      <c r="BH168" t="str">
        <f t="shared" si="215"/>
        <v>3.1.6.RX</v>
      </c>
      <c r="BI168" t="str">
        <f>IF(AND(BE168&lt;&gt;"",LEFT(BE168,1)&lt;&gt;"#"),IF(LEFT(BE168,1)="-",REPLACE(BE168,1,1,tech!$H$2),BE168),"")</f>
        <v/>
      </c>
      <c r="BJ168" t="s">
        <v>495</v>
      </c>
      <c r="BK168" s="492"/>
      <c r="BL168" t="str">
        <f t="shared" si="184"/>
        <v>Adoption and application of open standards</v>
      </c>
      <c r="BM168" t="str">
        <f t="shared" si="201"/>
        <v>References</v>
      </c>
      <c r="BN168" t="str">
        <f t="shared" si="216"/>
        <v>3.2.3.RX</v>
      </c>
      <c r="BO168" t="str">
        <f>IF(AND(BK168&lt;&gt;"",LEFT(BK168,1)&lt;&gt;"#"),IF(LEFT(BK168,1)="-",REPLACE(BK168,1,1,tech!$H$2),BK168),"")</f>
        <v/>
      </c>
      <c r="BP168" t="s">
        <v>495</v>
      </c>
      <c r="BQ168" s="492" t="s">
        <v>896</v>
      </c>
      <c r="BR168" t="str">
        <f t="shared" si="185"/>
        <v>Review of events and logs is periodically performed</v>
      </c>
      <c r="BS168" t="str">
        <f t="shared" si="202"/>
        <v>References</v>
      </c>
      <c r="BT168" t="str">
        <f t="shared" si="217"/>
        <v>3.3.6.RY</v>
      </c>
      <c r="BU168" t="str">
        <f>IF(AND(BQ168&lt;&gt;"",LEFT(BQ168,1)&lt;&gt;"#"),IF(LEFT(BQ168,1)="-",REPLACE(BQ168,1,1,tech!$H$2),BQ168),"")</f>
        <v>• [ISO/IEC 20000 and related standards](https://www.iso.org/standard/70636.html)</v>
      </c>
      <c r="BV168" t="s">
        <v>495</v>
      </c>
      <c r="BW168" s="492"/>
      <c r="BX168" t="str">
        <f t="shared" si="186"/>
        <v>Incidents and exceptions handling</v>
      </c>
      <c r="BY168" t="str">
        <f t="shared" si="203"/>
        <v>References</v>
      </c>
      <c r="BZ168" t="str">
        <f t="shared" si="218"/>
        <v>3.4.3.RX</v>
      </c>
      <c r="CA168" t="str">
        <f>IF(AND(BW168&lt;&gt;"",LEFT(BW168,1)&lt;&gt;"#"),IF(LEFT(BW168,1)="-",REPLACE(BW168,1,1,tech!$H$2),BW168),"")</f>
        <v/>
      </c>
      <c r="CB168" t="s">
        <v>495</v>
      </c>
      <c r="CC168" s="492"/>
      <c r="CD168" t="str">
        <f t="shared" si="187"/>
        <v>Resources are periodically reviewed</v>
      </c>
      <c r="CE168" t="str">
        <f t="shared" si="204"/>
        <v>References</v>
      </c>
      <c r="CF168" t="str">
        <f t="shared" si="219"/>
        <v>4.1.4.RX</v>
      </c>
      <c r="CG168" t="str">
        <f>IF(AND(CC168&lt;&gt;"",LEFT(CC168,1)&lt;&gt;"#"),IF(LEFT(CC168,1)="-",REPLACE(CC168,1,1,tech!$H$2),CC168),"")</f>
        <v/>
      </c>
      <c r="CH168" t="s">
        <v>495</v>
      </c>
      <c r="CI168" s="492"/>
      <c r="CJ168" t="str">
        <f t="shared" si="188"/>
        <v>Periodically review knowledge</v>
      </c>
      <c r="CK168" t="str">
        <f t="shared" si="205"/>
        <v>References</v>
      </c>
      <c r="CL168" t="str">
        <f t="shared" si="220"/>
        <v>4.2.5.RX</v>
      </c>
      <c r="CM168" t="str">
        <f>IF(AND(CI168&lt;&gt;"",LEFT(CI168,1)&lt;&gt;"#"),IF(LEFT(CI168,1)="-",REPLACE(CI168,1,1,tech!$H$2),CI168),"")</f>
        <v/>
      </c>
      <c r="CN168" t="s">
        <v>495</v>
      </c>
      <c r="CO168" s="492"/>
      <c r="CP168" t="str">
        <f t="shared" si="189"/>
        <v>Timely communication of important information</v>
      </c>
      <c r="CQ168" t="str">
        <f t="shared" si="206"/>
        <v>References</v>
      </c>
      <c r="CR168" t="str">
        <f t="shared" si="221"/>
        <v>4.3.4.RX</v>
      </c>
      <c r="CS168" t="str">
        <f>IF(AND(CO168&lt;&gt;"",LEFT(CO168,1)&lt;&gt;"#"),IF(LEFT(CO168,1)="-",REPLACE(CO168,1,1,tech!$H$2),CO168),"")</f>
        <v/>
      </c>
      <c r="CT168" t="s">
        <v>495</v>
      </c>
    </row>
    <row r="169" spans="15:98" x14ac:dyDescent="0.25">
      <c r="O169" s="492"/>
      <c r="P169" t="str">
        <f t="shared" si="222"/>
        <v>Policies are periodically reviewed and updated</v>
      </c>
      <c r="Q169" t="str">
        <f t="shared" si="223"/>
        <v>References</v>
      </c>
      <c r="R169" t="str">
        <f t="shared" si="224"/>
        <v>1.2.5.RX</v>
      </c>
      <c r="S169" t="str">
        <f>IF(AND(O169&lt;&gt;"",LEFT(O169,1)&lt;&gt;"#"),IF(LEFT(O169,1)="-",REPLACE(O169,1,1,tech!$H$2),O169),"")</f>
        <v/>
      </c>
      <c r="T169" t="s">
        <v>495</v>
      </c>
      <c r="U169" s="492"/>
      <c r="V169" t="str">
        <f t="shared" si="225"/>
        <v>List of relevant laws, regulations, and standards, exist and is maintained</v>
      </c>
      <c r="W169" t="str">
        <f t="shared" si="226"/>
        <v>References</v>
      </c>
      <c r="X169" t="str">
        <f t="shared" si="227"/>
        <v>1.3.4.RX</v>
      </c>
      <c r="Y169" t="str">
        <f>IF(AND(U169&lt;&gt;"",LEFT(U169,1)&lt;&gt;"#"),IF(LEFT(U169,1)="-",REPLACE(U169,1,1,tech!$H$2),U169),"")</f>
        <v/>
      </c>
      <c r="Z169" t="s">
        <v>495</v>
      </c>
      <c r="AA169" s="492"/>
      <c r="AB169" t="str">
        <f t="shared" si="228"/>
        <v>Processes and procedures are reviewed and updated</v>
      </c>
      <c r="AC169" t="str">
        <f t="shared" si="229"/>
        <v>References</v>
      </c>
      <c r="AD169" t="str">
        <f t="shared" si="230"/>
        <v>1.4.5.RX</v>
      </c>
      <c r="AE169" t="str">
        <f>IF(AND(AA169&lt;&gt;"",LEFT(AA169,1)&lt;&gt;"#"),IF(LEFT(AA169,1)="-",REPLACE(AA169,1,1,tech!$H$2),AA169),"")</f>
        <v/>
      </c>
      <c r="AF169" t="s">
        <v>495</v>
      </c>
      <c r="AG169" s="492"/>
      <c r="AH169" t="str">
        <f t="shared" si="231"/>
        <v>Key management is periodically reviewed and updated</v>
      </c>
      <c r="AI169" t="str">
        <f t="shared" si="232"/>
        <v>References</v>
      </c>
      <c r="AJ169" t="str">
        <f t="shared" si="233"/>
        <v>2.1.6.RX</v>
      </c>
      <c r="AK169" t="str">
        <f>IF(AND(AG169&lt;&gt;"",LEFT(AG169,1)&lt;&gt;"#"),IF(LEFT(AG169,1)="-",REPLACE(AG169,1,1,tech!$H$2),AG169),"")</f>
        <v/>
      </c>
      <c r="AL169" t="s">
        <v>495</v>
      </c>
      <c r="AM169" s="492"/>
      <c r="AN169" t="str">
        <f t="shared" si="180"/>
        <v>Certificate management is periodically reviewed and updated</v>
      </c>
      <c r="AO169" t="str">
        <f t="shared" si="197"/>
        <v>References</v>
      </c>
      <c r="AP169" t="str">
        <f t="shared" si="212"/>
        <v>2.2.6.RX</v>
      </c>
      <c r="AQ169" t="str">
        <f>IF(AND(AM169&lt;&gt;"",LEFT(AM169,1)&lt;&gt;"#"),IF(LEFT(AM169,1)="-",REPLACE(AM169,1,1,tech!$H$2),AM169),"")</f>
        <v/>
      </c>
      <c r="AR169" t="s">
        <v>495</v>
      </c>
      <c r="AS169" s="492"/>
      <c r="AT169" t="str">
        <f t="shared" si="181"/>
        <v>Infrastructure activities are periodically reviewed</v>
      </c>
      <c r="AU169" t="str">
        <f t="shared" si="198"/>
        <v>References</v>
      </c>
      <c r="AV169" t="str">
        <f t="shared" si="213"/>
        <v>2.3.5.RX</v>
      </c>
      <c r="AW169" t="str">
        <f>IF(AND(AS169&lt;&gt;"",LEFT(AS169,1)&lt;&gt;"#"),IF(LEFT(AS169,1)="-",REPLACE(AS169,1,1,tech!$H$2),AS169),"")</f>
        <v/>
      </c>
      <c r="AX169" t="s">
        <v>495</v>
      </c>
      <c r="AY169" s="492"/>
      <c r="AZ169" t="str">
        <f t="shared" si="182"/>
        <v>Change management and agility is periodically reviewed</v>
      </c>
      <c r="BA169" t="str">
        <f t="shared" si="199"/>
        <v>References</v>
      </c>
      <c r="BB169" t="str">
        <f t="shared" si="214"/>
        <v>2.4.5.RX</v>
      </c>
      <c r="BC169" t="str">
        <f>IF(AND(AY169&lt;&gt;"",LEFT(AY169,1)&lt;&gt;"#"),IF(LEFT(AY169,1)="-",REPLACE(AY169,1,1,tech!$H$2),AY169),"")</f>
        <v/>
      </c>
      <c r="BD169" t="s">
        <v>495</v>
      </c>
      <c r="BE169" s="492" t="s">
        <v>1040</v>
      </c>
      <c r="BF169" t="str">
        <f t="shared" si="183"/>
        <v>Continual review and improvement</v>
      </c>
      <c r="BG169" t="str">
        <f t="shared" si="200"/>
        <v>References</v>
      </c>
      <c r="BH169" t="str">
        <f t="shared" si="215"/>
        <v>3.1.6.RY</v>
      </c>
      <c r="BI169" t="str">
        <f>IF(AND(BE169&lt;&gt;"",LEFT(BE169,1)&lt;&gt;"#"),IF(LEFT(BE169,1)="-",REPLACE(BE169,1,1,tech!$H$2),BE169),"")</f>
        <v>• [ISO 223XX Security and resilience standards](https://www.iso.org/standard/77008.html)</v>
      </c>
      <c r="BJ169" t="s">
        <v>495</v>
      </c>
      <c r="BK169" s="492"/>
      <c r="BL169" t="str">
        <f t="shared" si="184"/>
        <v>Adoption and application of open standards</v>
      </c>
      <c r="BM169" t="str">
        <f t="shared" si="201"/>
        <v>References</v>
      </c>
      <c r="BN169" t="str">
        <f t="shared" si="216"/>
        <v>3.2.3.RX</v>
      </c>
      <c r="BO169" t="str">
        <f>IF(AND(BK169&lt;&gt;"",LEFT(BK169,1)&lt;&gt;"#"),IF(LEFT(BK169,1)="-",REPLACE(BK169,1,1,tech!$H$2),BK169),"")</f>
        <v/>
      </c>
      <c r="BP169" t="s">
        <v>495</v>
      </c>
      <c r="BQ169" s="492" t="s">
        <v>1153</v>
      </c>
      <c r="BR169" t="str">
        <f t="shared" si="185"/>
        <v>Review of events and logs is periodically performed</v>
      </c>
      <c r="BS169" t="str">
        <f t="shared" si="202"/>
        <v>References</v>
      </c>
      <c r="BT169" t="str">
        <f t="shared" si="217"/>
        <v>3.3.6.RY</v>
      </c>
      <c r="BU169" t="str">
        <f>IF(AND(BQ169&lt;&gt;"",LEFT(BQ169,1)&lt;&gt;"#"),IF(LEFT(BQ169,1)="-",REPLACE(BQ169,1,1,tech!$H$2),BQ169),"")</f>
        <v>• [NIST - Guide to Computer Security Log Management](https://nvlpubs.nist.gov/nistpubs/Legacy/SP/nistspecialpublication800-92.pdf)</v>
      </c>
      <c r="BV169" t="s">
        <v>495</v>
      </c>
      <c r="BW169" s="492"/>
      <c r="BX169" t="str">
        <f t="shared" si="186"/>
        <v>Incidents and exceptions handling</v>
      </c>
      <c r="BY169" t="str">
        <f t="shared" si="203"/>
        <v>References</v>
      </c>
      <c r="BZ169" t="str">
        <f t="shared" si="218"/>
        <v>3.4.3.RX</v>
      </c>
      <c r="CA169" t="str">
        <f>IF(AND(BW169&lt;&gt;"",LEFT(BW169,1)&lt;&gt;"#"),IF(LEFT(BW169,1)="-",REPLACE(BW169,1,1,tech!$H$2),BW169),"")</f>
        <v/>
      </c>
      <c r="CB169" t="s">
        <v>495</v>
      </c>
      <c r="CC169" s="492"/>
      <c r="CD169" t="str">
        <f t="shared" si="187"/>
        <v>Resources are periodically reviewed</v>
      </c>
      <c r="CE169" t="str">
        <f t="shared" si="204"/>
        <v>References</v>
      </c>
      <c r="CF169" t="str">
        <f t="shared" si="219"/>
        <v>4.1.4.RX</v>
      </c>
      <c r="CG169" t="str">
        <f>IF(AND(CC169&lt;&gt;"",LEFT(CC169,1)&lt;&gt;"#"),IF(LEFT(CC169,1)="-",REPLACE(CC169,1,1,tech!$H$2),CC169),"")</f>
        <v/>
      </c>
      <c r="CH169" t="s">
        <v>495</v>
      </c>
      <c r="CI169" s="492"/>
      <c r="CJ169" t="str">
        <f t="shared" si="188"/>
        <v>Periodically review knowledge</v>
      </c>
      <c r="CK169" t="str">
        <f t="shared" si="205"/>
        <v>References</v>
      </c>
      <c r="CL169" t="str">
        <f t="shared" si="220"/>
        <v>4.2.5.RX</v>
      </c>
      <c r="CM169" t="str">
        <f>IF(AND(CI169&lt;&gt;"",LEFT(CI169,1)&lt;&gt;"#"),IF(LEFT(CI169,1)="-",REPLACE(CI169,1,1,tech!$H$2),CI169),"")</f>
        <v/>
      </c>
      <c r="CN169" t="s">
        <v>495</v>
      </c>
      <c r="CO169" s="492"/>
      <c r="CP169" t="str">
        <f t="shared" si="189"/>
        <v>Timely communication of important information</v>
      </c>
      <c r="CQ169" t="str">
        <f t="shared" si="206"/>
        <v>References</v>
      </c>
      <c r="CR169" t="str">
        <f t="shared" si="221"/>
        <v>4.3.4.RX</v>
      </c>
      <c r="CS169" t="str">
        <f>IF(AND(CO169&lt;&gt;"",LEFT(CO169,1)&lt;&gt;"#"),IF(LEFT(CO169,1)="-",REPLACE(CO169,1,1,tech!$H$2),CO169),"")</f>
        <v/>
      </c>
      <c r="CT169" t="s">
        <v>495</v>
      </c>
    </row>
    <row r="170" spans="15:98" x14ac:dyDescent="0.25">
      <c r="O170" s="492"/>
      <c r="P170" t="str">
        <f t="shared" si="222"/>
        <v>Policies are periodically reviewed and updated</v>
      </c>
      <c r="Q170" t="str">
        <f t="shared" si="223"/>
        <v>References</v>
      </c>
      <c r="R170" t="str">
        <f t="shared" si="224"/>
        <v>1.2.5.RX</v>
      </c>
      <c r="S170" t="str">
        <f>IF(AND(O170&lt;&gt;"",LEFT(O170,1)&lt;&gt;"#"),IF(LEFT(O170,1)="-",REPLACE(O170,1,1,tech!$H$2),O170),"")</f>
        <v/>
      </c>
      <c r="T170" t="s">
        <v>495</v>
      </c>
      <c r="U170" s="492"/>
      <c r="V170" t="str">
        <f t="shared" si="225"/>
        <v>List of relevant laws, regulations, and standards, exist and is maintained</v>
      </c>
      <c r="W170" t="str">
        <f t="shared" si="226"/>
        <v>References</v>
      </c>
      <c r="X170" t="str">
        <f t="shared" si="227"/>
        <v>1.3.4.RX</v>
      </c>
      <c r="Y170" t="str">
        <f>IF(AND(U170&lt;&gt;"",LEFT(U170,1)&lt;&gt;"#"),IF(LEFT(U170,1)="-",REPLACE(U170,1,1,tech!$H$2),U170),"")</f>
        <v/>
      </c>
      <c r="Z170" t="s">
        <v>495</v>
      </c>
      <c r="AA170" s="492"/>
      <c r="AB170" t="str">
        <f t="shared" si="228"/>
        <v>Processes and procedures are reviewed and updated</v>
      </c>
      <c r="AC170" t="str">
        <f t="shared" si="229"/>
        <v>References</v>
      </c>
      <c r="AD170" t="str">
        <f t="shared" si="230"/>
        <v>1.4.5.RX</v>
      </c>
      <c r="AE170" t="str">
        <f>IF(AND(AA170&lt;&gt;"",LEFT(AA170,1)&lt;&gt;"#"),IF(LEFT(AA170,1)="-",REPLACE(AA170,1,1,tech!$H$2),AA170),"")</f>
        <v/>
      </c>
      <c r="AF170" t="s">
        <v>495</v>
      </c>
      <c r="AG170" s="492"/>
      <c r="AH170" t="str">
        <f t="shared" si="231"/>
        <v>Key management is periodically reviewed and updated</v>
      </c>
      <c r="AI170" t="str">
        <f t="shared" si="232"/>
        <v>References</v>
      </c>
      <c r="AJ170" t="str">
        <f t="shared" si="233"/>
        <v>2.1.6.RX</v>
      </c>
      <c r="AK170" t="str">
        <f>IF(AND(AG170&lt;&gt;"",LEFT(AG170,1)&lt;&gt;"#"),IF(LEFT(AG170,1)="-",REPLACE(AG170,1,1,tech!$H$2),AG170),"")</f>
        <v/>
      </c>
      <c r="AL170" t="s">
        <v>495</v>
      </c>
      <c r="AM170" s="492" t="s">
        <v>498</v>
      </c>
      <c r="AN170" t="str">
        <f t="shared" si="180"/>
        <v>Certificate management is periodically reviewed and updated</v>
      </c>
      <c r="AO170" t="str">
        <f t="shared" si="197"/>
        <v>Guidance</v>
      </c>
      <c r="AP170" t="str">
        <f t="shared" si="212"/>
        <v>2.2.6.GX</v>
      </c>
      <c r="AQ170" t="str">
        <f>IF(AND(AM170&lt;&gt;"",LEFT(AM170,1)&lt;&gt;"#"),IF(LEFT(AM170,1)="-",REPLACE(AM170,1,1,tech!$H$2),AM170),"")</f>
        <v/>
      </c>
      <c r="AR170" t="s">
        <v>495</v>
      </c>
      <c r="AS170" s="492"/>
      <c r="AT170" t="str">
        <f t="shared" si="181"/>
        <v>Infrastructure activities are periodically reviewed</v>
      </c>
      <c r="AU170" t="str">
        <f t="shared" si="198"/>
        <v>References</v>
      </c>
      <c r="AV170" t="str">
        <f t="shared" si="213"/>
        <v>2.3.5.RX</v>
      </c>
      <c r="AW170" t="str">
        <f>IF(AND(AS170&lt;&gt;"",LEFT(AS170,1)&lt;&gt;"#"),IF(LEFT(AS170,1)="-",REPLACE(AS170,1,1,tech!$H$2),AS170),"")</f>
        <v/>
      </c>
      <c r="AX170" t="s">
        <v>495</v>
      </c>
      <c r="AY170" s="492"/>
      <c r="AZ170" t="str">
        <f t="shared" si="182"/>
        <v>Change management and agility is periodically reviewed</v>
      </c>
      <c r="BA170" t="str">
        <f t="shared" si="199"/>
        <v>References</v>
      </c>
      <c r="BB170" t="str">
        <f t="shared" si="214"/>
        <v>2.4.5.RX</v>
      </c>
      <c r="BC170" t="str">
        <f>IF(AND(AY170&lt;&gt;"",LEFT(AY170,1)&lt;&gt;"#"),IF(LEFT(AY170,1)="-",REPLACE(AY170,1,1,tech!$H$2),AY170),"")</f>
        <v/>
      </c>
      <c r="BD170" t="s">
        <v>495</v>
      </c>
      <c r="BE170" s="492" t="s">
        <v>1048</v>
      </c>
      <c r="BF170" t="str">
        <f t="shared" si="183"/>
        <v>Continual review and improvement</v>
      </c>
      <c r="BG170" t="str">
        <f t="shared" si="200"/>
        <v>References</v>
      </c>
      <c r="BH170" t="str">
        <f t="shared" si="215"/>
        <v>3.1.6.RY</v>
      </c>
      <c r="BI170" t="str">
        <f>IF(AND(BE170&lt;&gt;"",LEFT(BE170,1)&lt;&gt;"#"),IF(LEFT(BE170,1)="-",REPLACE(BE170,1,1,tech!$H$2),BE170),"")</f>
        <v>• [NIST Special Publications 800 - 30, 34, 37, 46, 53, 84](https://csrc.nist.gov/publications)</v>
      </c>
      <c r="BJ170" t="s">
        <v>495</v>
      </c>
      <c r="BK170" s="492"/>
      <c r="BL170" t="str">
        <f t="shared" si="184"/>
        <v>Adoption and application of open standards</v>
      </c>
      <c r="BM170" t="str">
        <f t="shared" si="201"/>
        <v>References</v>
      </c>
      <c r="BN170" t="str">
        <f t="shared" si="216"/>
        <v>3.2.3.RX</v>
      </c>
      <c r="BO170" t="str">
        <f>IF(AND(BK170&lt;&gt;"",LEFT(BK170,1)&lt;&gt;"#"),IF(LEFT(BK170,1)="-",REPLACE(BK170,1,1,tech!$H$2),BK170),"")</f>
        <v/>
      </c>
      <c r="BP170" t="s">
        <v>495</v>
      </c>
      <c r="BQ170" s="492" t="s">
        <v>1146</v>
      </c>
      <c r="BR170" t="str">
        <f t="shared" si="185"/>
        <v>Review of events and logs is periodically performed</v>
      </c>
      <c r="BS170" t="str">
        <f t="shared" si="202"/>
        <v>References</v>
      </c>
      <c r="BT170" t="str">
        <f t="shared" si="217"/>
        <v>3.3.6.RY</v>
      </c>
      <c r="BU170" t="str">
        <f>IF(AND(BQ170&lt;&gt;"",LEFT(BQ170,1)&lt;&gt;"#"),IF(LEFT(BQ170,1)="-",REPLACE(BQ170,1,1,tech!$H$2),BQ170),"")</f>
        <v>• [ISO/IEC 27099 - Public key infrastructure](https://www.iso.org/standard/56590.html)</v>
      </c>
      <c r="BV170" t="s">
        <v>495</v>
      </c>
      <c r="BW170" s="492"/>
      <c r="BX170" t="str">
        <f t="shared" si="186"/>
        <v>Incidents and exceptions handling</v>
      </c>
      <c r="BY170" t="str">
        <f t="shared" si="203"/>
        <v>References</v>
      </c>
      <c r="BZ170" t="str">
        <f t="shared" si="218"/>
        <v>3.4.3.RX</v>
      </c>
      <c r="CA170" t="str">
        <f>IF(AND(BW170&lt;&gt;"",LEFT(BW170,1)&lt;&gt;"#"),IF(LEFT(BW170,1)="-",REPLACE(BW170,1,1,tech!$H$2),BW170),"")</f>
        <v/>
      </c>
      <c r="CB170" t="s">
        <v>495</v>
      </c>
      <c r="CC170" s="492"/>
      <c r="CD170" t="str">
        <f t="shared" si="187"/>
        <v>Resources are periodically reviewed</v>
      </c>
      <c r="CE170" t="str">
        <f t="shared" si="204"/>
        <v>References</v>
      </c>
      <c r="CF170" t="str">
        <f t="shared" si="219"/>
        <v>4.1.4.RX</v>
      </c>
      <c r="CG170" t="str">
        <f>IF(AND(CC170&lt;&gt;"",LEFT(CC170,1)&lt;&gt;"#"),IF(LEFT(CC170,1)="-",REPLACE(CC170,1,1,tech!$H$2),CC170),"")</f>
        <v/>
      </c>
      <c r="CH170" t="s">
        <v>495</v>
      </c>
      <c r="CI170" s="492"/>
      <c r="CJ170" t="str">
        <f t="shared" si="188"/>
        <v>Periodically review knowledge</v>
      </c>
      <c r="CK170" t="str">
        <f t="shared" si="205"/>
        <v>References</v>
      </c>
      <c r="CL170" t="str">
        <f t="shared" si="220"/>
        <v>4.2.5.RX</v>
      </c>
      <c r="CM170" t="str">
        <f>IF(AND(CI170&lt;&gt;"",LEFT(CI170,1)&lt;&gt;"#"),IF(LEFT(CI170,1)="-",REPLACE(CI170,1,1,tech!$H$2),CI170),"")</f>
        <v/>
      </c>
      <c r="CN170" t="s">
        <v>495</v>
      </c>
      <c r="CO170" s="492"/>
      <c r="CP170" t="str">
        <f t="shared" si="189"/>
        <v>Timely communication of important information</v>
      </c>
      <c r="CQ170" t="str">
        <f t="shared" si="206"/>
        <v>References</v>
      </c>
      <c r="CR170" t="str">
        <f t="shared" si="221"/>
        <v>4.3.4.RX</v>
      </c>
      <c r="CS170" t="str">
        <f>IF(AND(CO170&lt;&gt;"",LEFT(CO170,1)&lt;&gt;"#"),IF(LEFT(CO170,1)="-",REPLACE(CO170,1,1,tech!$H$2),CO170),"")</f>
        <v/>
      </c>
      <c r="CT170" t="s">
        <v>495</v>
      </c>
    </row>
    <row r="171" spans="15:98" x14ac:dyDescent="0.25">
      <c r="O171" s="492"/>
      <c r="P171" t="str">
        <f t="shared" si="222"/>
        <v>Policies are periodically reviewed and updated</v>
      </c>
      <c r="Q171" t="str">
        <f t="shared" si="223"/>
        <v>References</v>
      </c>
      <c r="R171" t="str">
        <f t="shared" si="224"/>
        <v>1.2.5.RX</v>
      </c>
      <c r="S171" t="str">
        <f>IF(AND(O171&lt;&gt;"",LEFT(O171,1)&lt;&gt;"#"),IF(LEFT(O171,1)="-",REPLACE(O171,1,1,tech!$H$2),O171),"")</f>
        <v/>
      </c>
      <c r="T171" t="s">
        <v>495</v>
      </c>
      <c r="U171" s="492"/>
      <c r="V171" t="str">
        <f t="shared" si="225"/>
        <v>List of relevant laws, regulations, and standards, exist and is maintained</v>
      </c>
      <c r="W171" t="str">
        <f t="shared" si="226"/>
        <v>References</v>
      </c>
      <c r="X171" t="str">
        <f t="shared" si="227"/>
        <v>1.3.4.RX</v>
      </c>
      <c r="Y171" t="str">
        <f>IF(AND(U171&lt;&gt;"",LEFT(U171,1)&lt;&gt;"#"),IF(LEFT(U171,1)="-",REPLACE(U171,1,1,tech!$H$2),U171),"")</f>
        <v/>
      </c>
      <c r="Z171" t="s">
        <v>495</v>
      </c>
      <c r="AA171" s="492"/>
      <c r="AB171" t="str">
        <f t="shared" si="228"/>
        <v>Processes and procedures are reviewed and updated</v>
      </c>
      <c r="AC171" t="str">
        <f t="shared" si="229"/>
        <v>References</v>
      </c>
      <c r="AD171" t="str">
        <f t="shared" si="230"/>
        <v>1.4.5.RX</v>
      </c>
      <c r="AE171" t="str">
        <f>IF(AND(AA171&lt;&gt;"",LEFT(AA171,1)&lt;&gt;"#"),IF(LEFT(AA171,1)="-",REPLACE(AA171,1,1,tech!$H$2),AA171),"")</f>
        <v/>
      </c>
      <c r="AF171" t="s">
        <v>495</v>
      </c>
      <c r="AG171" s="492"/>
      <c r="AH171" t="str">
        <f t="shared" si="231"/>
        <v>Key management is periodically reviewed and updated</v>
      </c>
      <c r="AI171" t="str">
        <f t="shared" si="232"/>
        <v>References</v>
      </c>
      <c r="AJ171" t="str">
        <f t="shared" si="233"/>
        <v>2.1.6.RX</v>
      </c>
      <c r="AK171" t="str">
        <f>IF(AND(AG171&lt;&gt;"",LEFT(AG171,1)&lt;&gt;"#"),IF(LEFT(AG171,1)="-",REPLACE(AG171,1,1,tech!$H$2),AG171),"")</f>
        <v/>
      </c>
      <c r="AL171" t="s">
        <v>495</v>
      </c>
      <c r="AM171" s="492"/>
      <c r="AN171" t="str">
        <f t="shared" si="180"/>
        <v>Certificate management is periodically reviewed and updated</v>
      </c>
      <c r="AO171" t="str">
        <f t="shared" si="197"/>
        <v>Guidance</v>
      </c>
      <c r="AP171" t="str">
        <f t="shared" si="212"/>
        <v>2.2.6.GX</v>
      </c>
      <c r="AQ171" t="str">
        <f>IF(AND(AM171&lt;&gt;"",LEFT(AM171,1)&lt;&gt;"#"),IF(LEFT(AM171,1)="-",REPLACE(AM171,1,1,tech!$H$2),AM171),"")</f>
        <v/>
      </c>
      <c r="AR171" t="s">
        <v>495</v>
      </c>
      <c r="AS171" s="492"/>
      <c r="AT171" t="str">
        <f t="shared" si="181"/>
        <v>Infrastructure activities are periodically reviewed</v>
      </c>
      <c r="AU171" t="str">
        <f t="shared" si="198"/>
        <v>References</v>
      </c>
      <c r="AV171" t="str">
        <f t="shared" si="213"/>
        <v>2.3.5.RX</v>
      </c>
      <c r="AW171" t="str">
        <f>IF(AND(AS171&lt;&gt;"",LEFT(AS171,1)&lt;&gt;"#"),IF(LEFT(AS171,1)="-",REPLACE(AS171,1,1,tech!$H$2),AS171),"")</f>
        <v/>
      </c>
      <c r="AX171" t="s">
        <v>495</v>
      </c>
      <c r="AY171" s="492"/>
      <c r="AZ171" t="str">
        <f t="shared" si="182"/>
        <v>Change management and agility is periodically reviewed</v>
      </c>
      <c r="BA171" t="str">
        <f t="shared" si="199"/>
        <v>References</v>
      </c>
      <c r="BB171" t="str">
        <f t="shared" si="214"/>
        <v>2.4.5.RX</v>
      </c>
      <c r="BC171" t="str">
        <f>IF(AND(AY171&lt;&gt;"",LEFT(AY171,1)&lt;&gt;"#"),IF(LEFT(AY171,1)="-",REPLACE(AY171,1,1,tech!$H$2),AY171),"")</f>
        <v/>
      </c>
      <c r="BD171" t="s">
        <v>495</v>
      </c>
      <c r="BE171" s="492"/>
      <c r="BF171" t="str">
        <f t="shared" si="183"/>
        <v>Continual review and improvement</v>
      </c>
      <c r="BG171" t="str">
        <f t="shared" si="200"/>
        <v>References</v>
      </c>
      <c r="BH171" t="str">
        <f t="shared" si="215"/>
        <v>3.1.6.RX</v>
      </c>
      <c r="BI171" t="str">
        <f>IF(AND(BE171&lt;&gt;"",LEFT(BE171,1)&lt;&gt;"#"),IF(LEFT(BE171,1)="-",REPLACE(BE171,1,1,tech!$H$2),BE171),"")</f>
        <v/>
      </c>
      <c r="BJ171" t="s">
        <v>495</v>
      </c>
      <c r="BK171" s="492"/>
      <c r="BL171" t="str">
        <f t="shared" si="184"/>
        <v>Adoption and application of open standards</v>
      </c>
      <c r="BM171" t="str">
        <f t="shared" si="201"/>
        <v>References</v>
      </c>
      <c r="BN171" t="str">
        <f t="shared" si="216"/>
        <v>3.2.3.RX</v>
      </c>
      <c r="BO171" t="str">
        <f>IF(AND(BK171&lt;&gt;"",LEFT(BK171,1)&lt;&gt;"#"),IF(LEFT(BK171,1)="-",REPLACE(BK171,1,1,tech!$H$2),BK171),"")</f>
        <v/>
      </c>
      <c r="BP171" t="s">
        <v>495</v>
      </c>
      <c r="BQ171" s="492"/>
      <c r="BR171" t="str">
        <f t="shared" si="185"/>
        <v>Review of events and logs is periodically performed</v>
      </c>
      <c r="BS171" t="str">
        <f t="shared" si="202"/>
        <v>References</v>
      </c>
      <c r="BT171" t="str">
        <f t="shared" si="217"/>
        <v>3.3.6.RX</v>
      </c>
      <c r="BU171" t="str">
        <f>IF(AND(BQ171&lt;&gt;"",LEFT(BQ171,1)&lt;&gt;"#"),IF(LEFT(BQ171,1)="-",REPLACE(BQ171,1,1,tech!$H$2),BQ171),"")</f>
        <v/>
      </c>
      <c r="BV171" t="s">
        <v>495</v>
      </c>
      <c r="BW171" s="492"/>
      <c r="BX171" t="str">
        <f t="shared" si="186"/>
        <v>Incidents and exceptions handling</v>
      </c>
      <c r="BY171" t="str">
        <f t="shared" si="203"/>
        <v>References</v>
      </c>
      <c r="BZ171" t="str">
        <f t="shared" si="218"/>
        <v>3.4.3.RX</v>
      </c>
      <c r="CA171" t="str">
        <f>IF(AND(BW171&lt;&gt;"",LEFT(BW171,1)&lt;&gt;"#"),IF(LEFT(BW171,1)="-",REPLACE(BW171,1,1,tech!$H$2),BW171),"")</f>
        <v/>
      </c>
      <c r="CB171" t="s">
        <v>495</v>
      </c>
      <c r="CC171" s="492"/>
      <c r="CD171" t="str">
        <f t="shared" si="187"/>
        <v>Resources are periodically reviewed</v>
      </c>
      <c r="CE171" t="str">
        <f t="shared" si="204"/>
        <v>References</v>
      </c>
      <c r="CF171" t="str">
        <f t="shared" si="219"/>
        <v>4.1.4.RX</v>
      </c>
      <c r="CG171" t="str">
        <f>IF(AND(CC171&lt;&gt;"",LEFT(CC171,1)&lt;&gt;"#"),IF(LEFT(CC171,1)="-",REPLACE(CC171,1,1,tech!$H$2),CC171),"")</f>
        <v/>
      </c>
      <c r="CH171" t="s">
        <v>495</v>
      </c>
      <c r="CI171" s="492"/>
      <c r="CJ171" t="str">
        <f t="shared" si="188"/>
        <v>Periodically review knowledge</v>
      </c>
      <c r="CK171" t="str">
        <f t="shared" si="205"/>
        <v>References</v>
      </c>
      <c r="CL171" t="str">
        <f t="shared" si="220"/>
        <v>4.2.5.RX</v>
      </c>
      <c r="CM171" t="str">
        <f>IF(AND(CI171&lt;&gt;"",LEFT(CI171,1)&lt;&gt;"#"),IF(LEFT(CI171,1)="-",REPLACE(CI171,1,1,tech!$H$2),CI171),"")</f>
        <v/>
      </c>
      <c r="CN171" t="s">
        <v>495</v>
      </c>
      <c r="CO171" s="492"/>
      <c r="CP171" t="str">
        <f t="shared" si="189"/>
        <v>Timely communication of important information</v>
      </c>
      <c r="CQ171" t="str">
        <f t="shared" si="206"/>
        <v>References</v>
      </c>
      <c r="CR171" t="str">
        <f t="shared" si="221"/>
        <v>4.3.4.RX</v>
      </c>
      <c r="CS171" t="str">
        <f>IF(AND(CO171&lt;&gt;"",LEFT(CO171,1)&lt;&gt;"#"),IF(LEFT(CO171,1)="-",REPLACE(CO171,1,1,tech!$H$2),CO171),"")</f>
        <v/>
      </c>
      <c r="CT171" t="s">
        <v>495</v>
      </c>
    </row>
    <row r="172" spans="15:98" x14ac:dyDescent="0.25">
      <c r="O172" s="492"/>
      <c r="P172" t="str">
        <f t="shared" si="222"/>
        <v>Policies are periodically reviewed and updated</v>
      </c>
      <c r="Q172" t="str">
        <f t="shared" si="223"/>
        <v>References</v>
      </c>
      <c r="R172" t="str">
        <f t="shared" si="224"/>
        <v>1.2.5.RX</v>
      </c>
      <c r="S172" t="str">
        <f>IF(AND(O172&lt;&gt;"",LEFT(O172,1)&lt;&gt;"#"),IF(LEFT(O172,1)="-",REPLACE(O172,1,1,tech!$H$2),O172),"")</f>
        <v/>
      </c>
      <c r="T172" t="s">
        <v>495</v>
      </c>
      <c r="U172" s="492"/>
      <c r="V172" t="str">
        <f t="shared" si="225"/>
        <v>List of relevant laws, regulations, and standards, exist and is maintained</v>
      </c>
      <c r="W172" t="str">
        <f t="shared" si="226"/>
        <v>References</v>
      </c>
      <c r="X172" t="str">
        <f t="shared" si="227"/>
        <v>1.3.4.RX</v>
      </c>
      <c r="Y172" t="str">
        <f>IF(AND(U172&lt;&gt;"",LEFT(U172,1)&lt;&gt;"#"),IF(LEFT(U172,1)="-",REPLACE(U172,1,1,tech!$H$2),U172),"")</f>
        <v/>
      </c>
      <c r="Z172" t="s">
        <v>495</v>
      </c>
      <c r="AA172" s="492"/>
      <c r="AB172" t="str">
        <f t="shared" si="228"/>
        <v>Processes and procedures are reviewed and updated</v>
      </c>
      <c r="AC172" t="str">
        <f t="shared" si="229"/>
        <v>References</v>
      </c>
      <c r="AD172" t="str">
        <f t="shared" si="230"/>
        <v>1.4.5.RX</v>
      </c>
      <c r="AE172" t="str">
        <f>IF(AND(AA172&lt;&gt;"",LEFT(AA172,1)&lt;&gt;"#"),IF(LEFT(AA172,1)="-",REPLACE(AA172,1,1,tech!$H$2),AA172),"")</f>
        <v/>
      </c>
      <c r="AF172" t="s">
        <v>495</v>
      </c>
      <c r="AG172" s="492"/>
      <c r="AH172" t="str">
        <f t="shared" si="231"/>
        <v>Key management is periodically reviewed and updated</v>
      </c>
      <c r="AI172" t="str">
        <f t="shared" si="232"/>
        <v>References</v>
      </c>
      <c r="AJ172" t="str">
        <f t="shared" si="233"/>
        <v>2.1.6.RX</v>
      </c>
      <c r="AK172" t="str">
        <f>IF(AND(AG172&lt;&gt;"",LEFT(AG172,1)&lt;&gt;"#"),IF(LEFT(AG172,1)="-",REPLACE(AG172,1,1,tech!$H$2),AG172),"")</f>
        <v/>
      </c>
      <c r="AL172" t="s">
        <v>495</v>
      </c>
      <c r="AM172" s="492" t="s">
        <v>866</v>
      </c>
      <c r="AN172" t="str">
        <f t="shared" si="180"/>
        <v>Certificate management is periodically reviewed and updated</v>
      </c>
      <c r="AO172" t="str">
        <f t="shared" si="197"/>
        <v>Guidance</v>
      </c>
      <c r="AP172" t="str">
        <f t="shared" si="212"/>
        <v>2.2.6.GY</v>
      </c>
      <c r="AQ172" t="str">
        <f>IF(AND(AM172&lt;&gt;"",LEFT(AM172,1)&lt;&gt;"#"),IF(LEFT(AM172,1)="-",REPLACE(AM172,1,1,tech!$H$2),AM172),"")</f>
        <v>No certificate issuance and management system works over long periods of time without changes to use-cases, processes, protocols and algorithms. It is important that the certificate management is periodically reviewed and updated to avoid gaps. The frequency of review should be based on the organizational risks and needs to be protected against current and future trends.</v>
      </c>
      <c r="AR172" t="s">
        <v>495</v>
      </c>
      <c r="AS172" s="492"/>
      <c r="AT172" t="str">
        <f t="shared" si="181"/>
        <v>Infrastructure activities are periodically reviewed</v>
      </c>
      <c r="AU172" t="str">
        <f t="shared" si="198"/>
        <v>References</v>
      </c>
      <c r="AV172" t="str">
        <f t="shared" si="213"/>
        <v>2.3.5.RX</v>
      </c>
      <c r="AW172" t="str">
        <f>IF(AND(AS172&lt;&gt;"",LEFT(AS172,1)&lt;&gt;"#"),IF(LEFT(AS172,1)="-",REPLACE(AS172,1,1,tech!$H$2),AS172),"")</f>
        <v/>
      </c>
      <c r="AX172" t="s">
        <v>495</v>
      </c>
      <c r="AY172" s="492"/>
      <c r="AZ172" t="str">
        <f t="shared" si="182"/>
        <v>Change management and agility is periodically reviewed</v>
      </c>
      <c r="BA172" t="str">
        <f t="shared" si="199"/>
        <v>References</v>
      </c>
      <c r="BB172" t="str">
        <f t="shared" si="214"/>
        <v>2.4.5.RX</v>
      </c>
      <c r="BC172" t="str">
        <f>IF(AND(AY172&lt;&gt;"",LEFT(AY172,1)&lt;&gt;"#"),IF(LEFT(AY172,1)="-",REPLACE(AY172,1,1,tech!$H$2),AY172),"")</f>
        <v/>
      </c>
      <c r="BD172" t="s">
        <v>495</v>
      </c>
      <c r="BE172" s="492"/>
      <c r="BF172" t="str">
        <f t="shared" si="183"/>
        <v>Continual review and improvement</v>
      </c>
      <c r="BG172" t="str">
        <f t="shared" si="200"/>
        <v>References</v>
      </c>
      <c r="BH172" t="str">
        <f t="shared" si="215"/>
        <v>3.1.6.RX</v>
      </c>
      <c r="BI172" t="str">
        <f>IF(AND(BE172&lt;&gt;"",LEFT(BE172,1)&lt;&gt;"#"),IF(LEFT(BE172,1)="-",REPLACE(BE172,1,1,tech!$H$2),BE172),"")</f>
        <v/>
      </c>
      <c r="BJ172" t="s">
        <v>495</v>
      </c>
      <c r="BK172" s="492"/>
      <c r="BL172" t="str">
        <f t="shared" si="184"/>
        <v>Adoption and application of open standards</v>
      </c>
      <c r="BM172" t="str">
        <f t="shared" si="201"/>
        <v>References</v>
      </c>
      <c r="BN172" t="str">
        <f t="shared" si="216"/>
        <v>3.2.3.RX</v>
      </c>
      <c r="BO172" t="str">
        <f>IF(AND(BK172&lt;&gt;"",LEFT(BK172,1)&lt;&gt;"#"),IF(LEFT(BK172,1)="-",REPLACE(BK172,1,1,tech!$H$2),BK172),"")</f>
        <v/>
      </c>
      <c r="BP172" t="s">
        <v>495</v>
      </c>
      <c r="BQ172" s="492"/>
      <c r="BR172" t="str">
        <f t="shared" si="185"/>
        <v>Review of events and logs is periodically performed</v>
      </c>
      <c r="BS172" t="str">
        <f t="shared" si="202"/>
        <v>References</v>
      </c>
      <c r="BT172" t="str">
        <f t="shared" si="217"/>
        <v>3.3.6.RX</v>
      </c>
      <c r="BU172" t="str">
        <f>IF(AND(BQ172&lt;&gt;"",LEFT(BQ172,1)&lt;&gt;"#"),IF(LEFT(BQ172,1)="-",REPLACE(BQ172,1,1,tech!$H$2),BQ172),"")</f>
        <v/>
      </c>
      <c r="BV172" t="s">
        <v>495</v>
      </c>
      <c r="BW172" s="492"/>
      <c r="BX172" t="str">
        <f t="shared" si="186"/>
        <v>Incidents and exceptions handling</v>
      </c>
      <c r="BY172" t="str">
        <f t="shared" si="203"/>
        <v>References</v>
      </c>
      <c r="BZ172" t="str">
        <f t="shared" si="218"/>
        <v>3.4.3.RX</v>
      </c>
      <c r="CA172" t="str">
        <f>IF(AND(BW172&lt;&gt;"",LEFT(BW172,1)&lt;&gt;"#"),IF(LEFT(BW172,1)="-",REPLACE(BW172,1,1,tech!$H$2),BW172),"")</f>
        <v/>
      </c>
      <c r="CB172" t="s">
        <v>495</v>
      </c>
      <c r="CC172" s="492"/>
      <c r="CD172" t="str">
        <f t="shared" si="187"/>
        <v>Resources are periodically reviewed</v>
      </c>
      <c r="CE172" t="str">
        <f t="shared" si="204"/>
        <v>References</v>
      </c>
      <c r="CF172" t="str">
        <f t="shared" si="219"/>
        <v>4.1.4.RX</v>
      </c>
      <c r="CG172" t="str">
        <f>IF(AND(CC172&lt;&gt;"",LEFT(CC172,1)&lt;&gt;"#"),IF(LEFT(CC172,1)="-",REPLACE(CC172,1,1,tech!$H$2),CC172),"")</f>
        <v/>
      </c>
      <c r="CH172" t="s">
        <v>495</v>
      </c>
      <c r="CI172" s="492"/>
      <c r="CJ172" t="str">
        <f t="shared" si="188"/>
        <v>Periodically review knowledge</v>
      </c>
      <c r="CK172" t="str">
        <f t="shared" si="205"/>
        <v>References</v>
      </c>
      <c r="CL172" t="str">
        <f t="shared" si="220"/>
        <v>4.2.5.RX</v>
      </c>
      <c r="CM172" t="str">
        <f>IF(AND(CI172&lt;&gt;"",LEFT(CI172,1)&lt;&gt;"#"),IF(LEFT(CI172,1)="-",REPLACE(CI172,1,1,tech!$H$2),CI172),"")</f>
        <v/>
      </c>
      <c r="CN172" t="s">
        <v>495</v>
      </c>
      <c r="CO172" s="492"/>
      <c r="CP172" t="str">
        <f t="shared" si="189"/>
        <v>Timely communication of important information</v>
      </c>
      <c r="CQ172" t="str">
        <f t="shared" si="206"/>
        <v>References</v>
      </c>
      <c r="CR172" t="str">
        <f t="shared" si="221"/>
        <v>4.3.4.RX</v>
      </c>
      <c r="CS172" t="str">
        <f>IF(AND(CO172&lt;&gt;"",LEFT(CO172,1)&lt;&gt;"#"),IF(LEFT(CO172,1)="-",REPLACE(CO172,1,1,tech!$H$2),CO172),"")</f>
        <v/>
      </c>
      <c r="CT172" t="s">
        <v>495</v>
      </c>
    </row>
    <row r="173" spans="15:98" x14ac:dyDescent="0.25">
      <c r="O173" s="492"/>
      <c r="P173" t="str">
        <f t="shared" si="222"/>
        <v>Policies are periodically reviewed and updated</v>
      </c>
      <c r="Q173" t="str">
        <f t="shared" si="223"/>
        <v>References</v>
      </c>
      <c r="R173" t="str">
        <f t="shared" si="224"/>
        <v>1.2.5.RX</v>
      </c>
      <c r="S173" t="str">
        <f>IF(AND(O173&lt;&gt;"",LEFT(O173,1)&lt;&gt;"#"),IF(LEFT(O173,1)="-",REPLACE(O173,1,1,tech!$H$2),O173),"")</f>
        <v/>
      </c>
      <c r="T173" t="s">
        <v>495</v>
      </c>
      <c r="U173" s="492"/>
      <c r="V173" t="str">
        <f t="shared" si="225"/>
        <v>List of relevant laws, regulations, and standards, exist and is maintained</v>
      </c>
      <c r="W173" t="str">
        <f t="shared" si="226"/>
        <v>References</v>
      </c>
      <c r="X173" t="str">
        <f t="shared" si="227"/>
        <v>1.3.4.RX</v>
      </c>
      <c r="Y173" t="str">
        <f>IF(AND(U173&lt;&gt;"",LEFT(U173,1)&lt;&gt;"#"),IF(LEFT(U173,1)="-",REPLACE(U173,1,1,tech!$H$2),U173),"")</f>
        <v/>
      </c>
      <c r="Z173" t="s">
        <v>495</v>
      </c>
      <c r="AA173" s="492"/>
      <c r="AB173" t="str">
        <f t="shared" si="228"/>
        <v>Processes and procedures are reviewed and updated</v>
      </c>
      <c r="AC173" t="str">
        <f t="shared" si="229"/>
        <v>References</v>
      </c>
      <c r="AD173" t="str">
        <f t="shared" si="230"/>
        <v>1.4.5.RX</v>
      </c>
      <c r="AE173" t="str">
        <f>IF(AND(AA173&lt;&gt;"",LEFT(AA173,1)&lt;&gt;"#"),IF(LEFT(AA173,1)="-",REPLACE(AA173,1,1,tech!$H$2),AA173),"")</f>
        <v/>
      </c>
      <c r="AF173" t="s">
        <v>495</v>
      </c>
      <c r="AG173" s="492"/>
      <c r="AH173" t="str">
        <f t="shared" si="231"/>
        <v>Key management is periodically reviewed and updated</v>
      </c>
      <c r="AI173" t="str">
        <f t="shared" si="232"/>
        <v>References</v>
      </c>
      <c r="AJ173" t="str">
        <f t="shared" si="233"/>
        <v>2.1.6.RX</v>
      </c>
      <c r="AK173" t="str">
        <f>IF(AND(AG173&lt;&gt;"",LEFT(AG173,1)&lt;&gt;"#"),IF(LEFT(AG173,1)="-",REPLACE(AG173,1,1,tech!$H$2),AG173),"")</f>
        <v/>
      </c>
      <c r="AL173" t="s">
        <v>495</v>
      </c>
      <c r="AM173" s="492"/>
      <c r="AN173" t="str">
        <f t="shared" si="180"/>
        <v>Certificate management is periodically reviewed and updated</v>
      </c>
      <c r="AO173" t="str">
        <f t="shared" si="197"/>
        <v>Guidance</v>
      </c>
      <c r="AP173" t="str">
        <f t="shared" si="212"/>
        <v>2.2.6.GY</v>
      </c>
      <c r="AQ173" t="str">
        <f>IF(AND(AM173&lt;&gt;"",LEFT(AM173,1)&lt;&gt;"#"),IF(LEFT(AM173,1)="-",REPLACE(AM173,1,1,tech!$H$2),AM173),"")</f>
        <v/>
      </c>
      <c r="AR173" t="s">
        <v>495</v>
      </c>
      <c r="AS173" s="492"/>
      <c r="AT173" t="str">
        <f t="shared" si="181"/>
        <v>Infrastructure activities are periodically reviewed</v>
      </c>
      <c r="AU173" t="str">
        <f t="shared" si="198"/>
        <v>References</v>
      </c>
      <c r="AV173" t="str">
        <f t="shared" si="213"/>
        <v>2.3.5.RX</v>
      </c>
      <c r="AW173" t="str">
        <f>IF(AND(AS173&lt;&gt;"",LEFT(AS173,1)&lt;&gt;"#"),IF(LEFT(AS173,1)="-",REPLACE(AS173,1,1,tech!$H$2),AS173),"")</f>
        <v/>
      </c>
      <c r="AX173" t="s">
        <v>495</v>
      </c>
      <c r="AY173" s="492"/>
      <c r="AZ173" t="str">
        <f t="shared" si="182"/>
        <v>Change management and agility is periodically reviewed</v>
      </c>
      <c r="BA173" t="str">
        <f t="shared" si="199"/>
        <v>References</v>
      </c>
      <c r="BB173" t="str">
        <f t="shared" si="214"/>
        <v>2.4.5.RX</v>
      </c>
      <c r="BC173" t="str">
        <f>IF(AND(AY173&lt;&gt;"",LEFT(AY173,1)&lt;&gt;"#"),IF(LEFT(AY173,1)="-",REPLACE(AY173,1,1,tech!$H$2),AY173),"")</f>
        <v/>
      </c>
      <c r="BD173" t="s">
        <v>495</v>
      </c>
      <c r="BE173" s="492"/>
      <c r="BF173" t="str">
        <f t="shared" si="183"/>
        <v>Continual review and improvement</v>
      </c>
      <c r="BG173" t="str">
        <f t="shared" si="200"/>
        <v>References</v>
      </c>
      <c r="BH173" t="str">
        <f t="shared" si="215"/>
        <v>3.1.6.RX</v>
      </c>
      <c r="BI173" t="str">
        <f>IF(AND(BE173&lt;&gt;"",LEFT(BE173,1)&lt;&gt;"#"),IF(LEFT(BE173,1)="-",REPLACE(BE173,1,1,tech!$H$2),BE173),"")</f>
        <v/>
      </c>
      <c r="BJ173" t="s">
        <v>495</v>
      </c>
      <c r="BK173" s="492"/>
      <c r="BL173" t="str">
        <f t="shared" si="184"/>
        <v>Adoption and application of open standards</v>
      </c>
      <c r="BM173" t="str">
        <f t="shared" si="201"/>
        <v>References</v>
      </c>
      <c r="BN173" t="str">
        <f t="shared" si="216"/>
        <v>3.2.3.RX</v>
      </c>
      <c r="BO173" t="str">
        <f>IF(AND(BK173&lt;&gt;"",LEFT(BK173,1)&lt;&gt;"#"),IF(LEFT(BK173,1)="-",REPLACE(BK173,1,1,tech!$H$2),BK173),"")</f>
        <v/>
      </c>
      <c r="BP173" t="s">
        <v>495</v>
      </c>
      <c r="BQ173" s="492"/>
      <c r="BR173" t="str">
        <f t="shared" si="185"/>
        <v>Review of events and logs is periodically performed</v>
      </c>
      <c r="BS173" t="str">
        <f t="shared" si="202"/>
        <v>References</v>
      </c>
      <c r="BT173" t="str">
        <f t="shared" si="217"/>
        <v>3.3.6.RX</v>
      </c>
      <c r="BU173" t="str">
        <f>IF(AND(BQ173&lt;&gt;"",LEFT(BQ173,1)&lt;&gt;"#"),IF(LEFT(BQ173,1)="-",REPLACE(BQ173,1,1,tech!$H$2),BQ173),"")</f>
        <v/>
      </c>
      <c r="BV173" t="s">
        <v>495</v>
      </c>
      <c r="BW173" s="492"/>
      <c r="BX173" t="str">
        <f t="shared" si="186"/>
        <v>Incidents and exceptions handling</v>
      </c>
      <c r="BY173" t="str">
        <f t="shared" si="203"/>
        <v>References</v>
      </c>
      <c r="BZ173" t="str">
        <f t="shared" si="218"/>
        <v>3.4.3.RX</v>
      </c>
      <c r="CA173" t="str">
        <f>IF(AND(BW173&lt;&gt;"",LEFT(BW173,1)&lt;&gt;"#"),IF(LEFT(BW173,1)="-",REPLACE(BW173,1,1,tech!$H$2),BW173),"")</f>
        <v/>
      </c>
      <c r="CB173" t="s">
        <v>495</v>
      </c>
      <c r="CC173" s="492"/>
      <c r="CD173" t="str">
        <f t="shared" si="187"/>
        <v>Resources are periodically reviewed</v>
      </c>
      <c r="CE173" t="str">
        <f t="shared" si="204"/>
        <v>References</v>
      </c>
      <c r="CF173" t="str">
        <f t="shared" si="219"/>
        <v>4.1.4.RX</v>
      </c>
      <c r="CG173" t="str">
        <f>IF(AND(CC173&lt;&gt;"",LEFT(CC173,1)&lt;&gt;"#"),IF(LEFT(CC173,1)="-",REPLACE(CC173,1,1,tech!$H$2),CC173),"")</f>
        <v/>
      </c>
      <c r="CH173" t="s">
        <v>495</v>
      </c>
      <c r="CI173" s="492"/>
      <c r="CJ173" t="str">
        <f t="shared" si="188"/>
        <v>Periodically review knowledge</v>
      </c>
      <c r="CK173" t="str">
        <f t="shared" si="205"/>
        <v>References</v>
      </c>
      <c r="CL173" t="str">
        <f t="shared" si="220"/>
        <v>4.2.5.RX</v>
      </c>
      <c r="CM173" t="str">
        <f>IF(AND(CI173&lt;&gt;"",LEFT(CI173,1)&lt;&gt;"#"),IF(LEFT(CI173,1)="-",REPLACE(CI173,1,1,tech!$H$2),CI173),"")</f>
        <v/>
      </c>
      <c r="CN173" t="s">
        <v>495</v>
      </c>
      <c r="CO173" s="492"/>
      <c r="CP173" t="str">
        <f t="shared" si="189"/>
        <v>Timely communication of important information</v>
      </c>
      <c r="CQ173" t="str">
        <f t="shared" si="206"/>
        <v>References</v>
      </c>
      <c r="CR173" t="str">
        <f t="shared" si="221"/>
        <v>4.3.4.RX</v>
      </c>
      <c r="CS173" t="str">
        <f>IF(AND(CO173&lt;&gt;"",LEFT(CO173,1)&lt;&gt;"#"),IF(LEFT(CO173,1)="-",REPLACE(CO173,1,1,tech!$H$2),CO173),"")</f>
        <v/>
      </c>
      <c r="CT173" t="s">
        <v>495</v>
      </c>
    </row>
    <row r="174" spans="15:98" x14ac:dyDescent="0.25">
      <c r="O174" s="492"/>
      <c r="P174" t="str">
        <f t="shared" si="222"/>
        <v>Policies are periodically reviewed and updated</v>
      </c>
      <c r="Q174" t="str">
        <f t="shared" si="223"/>
        <v>References</v>
      </c>
      <c r="R174" t="str">
        <f t="shared" si="224"/>
        <v>1.2.5.RX</v>
      </c>
      <c r="S174" t="str">
        <f>IF(AND(O174&lt;&gt;"",LEFT(O174,1)&lt;&gt;"#"),IF(LEFT(O174,1)="-",REPLACE(O174,1,1,tech!$H$2),O174),"")</f>
        <v/>
      </c>
      <c r="T174" t="s">
        <v>495</v>
      </c>
      <c r="U174" s="492"/>
      <c r="V174" t="str">
        <f t="shared" si="225"/>
        <v>List of relevant laws, regulations, and standards, exist and is maintained</v>
      </c>
      <c r="W174" t="str">
        <f t="shared" si="226"/>
        <v>References</v>
      </c>
      <c r="X174" t="str">
        <f t="shared" si="227"/>
        <v>1.3.4.RX</v>
      </c>
      <c r="Y174" t="str">
        <f>IF(AND(U174&lt;&gt;"",LEFT(U174,1)&lt;&gt;"#"),IF(LEFT(U174,1)="-",REPLACE(U174,1,1,tech!$H$2),U174),"")</f>
        <v/>
      </c>
      <c r="Z174" t="s">
        <v>495</v>
      </c>
      <c r="AA174" s="492"/>
      <c r="AB174" t="str">
        <f t="shared" si="228"/>
        <v>Processes and procedures are reviewed and updated</v>
      </c>
      <c r="AC174" t="str">
        <f t="shared" si="229"/>
        <v>References</v>
      </c>
      <c r="AD174" t="str">
        <f t="shared" si="230"/>
        <v>1.4.5.RX</v>
      </c>
      <c r="AE174" t="str">
        <f>IF(AND(AA174&lt;&gt;"",LEFT(AA174,1)&lt;&gt;"#"),IF(LEFT(AA174,1)="-",REPLACE(AA174,1,1,tech!$H$2),AA174),"")</f>
        <v/>
      </c>
      <c r="AF174" t="s">
        <v>495</v>
      </c>
      <c r="AG174" s="492"/>
      <c r="AH174" t="str">
        <f t="shared" si="231"/>
        <v>Key management is periodically reviewed and updated</v>
      </c>
      <c r="AI174" t="str">
        <f t="shared" si="232"/>
        <v>References</v>
      </c>
      <c r="AJ174" t="str">
        <f t="shared" si="233"/>
        <v>2.1.6.RX</v>
      </c>
      <c r="AK174" t="str">
        <f>IF(AND(AG174&lt;&gt;"",LEFT(AG174,1)&lt;&gt;"#"),IF(LEFT(AG174,1)="-",REPLACE(AG174,1,1,tech!$H$2),AG174),"")</f>
        <v/>
      </c>
      <c r="AL174" t="s">
        <v>495</v>
      </c>
      <c r="AM174" s="492" t="s">
        <v>867</v>
      </c>
      <c r="AN174" t="str">
        <f t="shared" si="180"/>
        <v>Certificate management is periodically reviewed and updated</v>
      </c>
      <c r="AO174" t="str">
        <f t="shared" si="197"/>
        <v>Guidance</v>
      </c>
      <c r="AP174" t="str">
        <f t="shared" si="212"/>
        <v>2.2.6.GY</v>
      </c>
      <c r="AQ174" t="str">
        <f>IF(AND(AM174&lt;&gt;"",LEFT(AM174,1)&lt;&gt;"#"),IF(LEFT(AM174,1)="-",REPLACE(AM174,1,1,tech!$H$2),AM174),"")</f>
        <v>Periodical review helps to keep the certificate management accurate and helps to maintain required skills and knowledge.</v>
      </c>
      <c r="AR174" t="s">
        <v>495</v>
      </c>
      <c r="AS174" s="492"/>
      <c r="AT174" t="str">
        <f t="shared" si="181"/>
        <v>Infrastructure activities are periodically reviewed</v>
      </c>
      <c r="AU174" t="str">
        <f t="shared" si="198"/>
        <v>References</v>
      </c>
      <c r="AV174" t="str">
        <f t="shared" si="213"/>
        <v>2.3.5.RX</v>
      </c>
      <c r="AW174" t="str">
        <f>IF(AND(AS174&lt;&gt;"",LEFT(AS174,1)&lt;&gt;"#"),IF(LEFT(AS174,1)="-",REPLACE(AS174,1,1,tech!$H$2),AS174),"")</f>
        <v/>
      </c>
      <c r="AX174" t="s">
        <v>495</v>
      </c>
      <c r="AY174" s="492"/>
      <c r="AZ174" t="str">
        <f t="shared" si="182"/>
        <v>Change management and agility is periodically reviewed</v>
      </c>
      <c r="BA174" t="str">
        <f t="shared" si="199"/>
        <v>References</v>
      </c>
      <c r="BB174" t="str">
        <f t="shared" si="214"/>
        <v>2.4.5.RX</v>
      </c>
      <c r="BC174" t="str">
        <f>IF(AND(AY174&lt;&gt;"",LEFT(AY174,1)&lt;&gt;"#"),IF(LEFT(AY174,1)="-",REPLACE(AY174,1,1,tech!$H$2),AY174),"")</f>
        <v/>
      </c>
      <c r="BD174" t="s">
        <v>495</v>
      </c>
      <c r="BE174" s="492"/>
      <c r="BF174" t="str">
        <f t="shared" si="183"/>
        <v>Continual review and improvement</v>
      </c>
      <c r="BG174" t="str">
        <f t="shared" si="200"/>
        <v>References</v>
      </c>
      <c r="BH174" t="str">
        <f t="shared" si="215"/>
        <v>3.1.6.RX</v>
      </c>
      <c r="BI174" t="str">
        <f>IF(AND(BE174&lt;&gt;"",LEFT(BE174,1)&lt;&gt;"#"),IF(LEFT(BE174,1)="-",REPLACE(BE174,1,1,tech!$H$2),BE174),"")</f>
        <v/>
      </c>
      <c r="BJ174" t="s">
        <v>495</v>
      </c>
      <c r="BK174" s="492"/>
      <c r="BL174" t="str">
        <f t="shared" si="184"/>
        <v>Adoption and application of open standards</v>
      </c>
      <c r="BM174" t="str">
        <f t="shared" si="201"/>
        <v>References</v>
      </c>
      <c r="BN174" t="str">
        <f t="shared" si="216"/>
        <v>3.2.3.RX</v>
      </c>
      <c r="BO174" t="str">
        <f>IF(AND(BK174&lt;&gt;"",LEFT(BK174,1)&lt;&gt;"#"),IF(LEFT(BK174,1)="-",REPLACE(BK174,1,1,tech!$H$2),BK174),"")</f>
        <v/>
      </c>
      <c r="BP174" t="s">
        <v>495</v>
      </c>
      <c r="BQ174" s="492"/>
      <c r="BR174" t="str">
        <f t="shared" si="185"/>
        <v>Review of events and logs is periodically performed</v>
      </c>
      <c r="BS174" t="str">
        <f t="shared" si="202"/>
        <v>References</v>
      </c>
      <c r="BT174" t="str">
        <f t="shared" si="217"/>
        <v>3.3.6.RX</v>
      </c>
      <c r="BU174" t="str">
        <f>IF(AND(BQ174&lt;&gt;"",LEFT(BQ174,1)&lt;&gt;"#"),IF(LEFT(BQ174,1)="-",REPLACE(BQ174,1,1,tech!$H$2),BQ174),"")</f>
        <v/>
      </c>
      <c r="BV174" t="s">
        <v>495</v>
      </c>
      <c r="BW174" s="492"/>
      <c r="BX174" t="str">
        <f t="shared" si="186"/>
        <v>Incidents and exceptions handling</v>
      </c>
      <c r="BY174" t="str">
        <f t="shared" si="203"/>
        <v>References</v>
      </c>
      <c r="BZ174" t="str">
        <f t="shared" si="218"/>
        <v>3.4.3.RX</v>
      </c>
      <c r="CA174" t="str">
        <f>IF(AND(BW174&lt;&gt;"",LEFT(BW174,1)&lt;&gt;"#"),IF(LEFT(BW174,1)="-",REPLACE(BW174,1,1,tech!$H$2),BW174),"")</f>
        <v/>
      </c>
      <c r="CB174" t="s">
        <v>495</v>
      </c>
      <c r="CC174" s="492"/>
      <c r="CD174" t="str">
        <f t="shared" si="187"/>
        <v>Resources are periodically reviewed</v>
      </c>
      <c r="CE174" t="str">
        <f t="shared" si="204"/>
        <v>References</v>
      </c>
      <c r="CF174" t="str">
        <f t="shared" si="219"/>
        <v>4.1.4.RX</v>
      </c>
      <c r="CG174" t="str">
        <f>IF(AND(CC174&lt;&gt;"",LEFT(CC174,1)&lt;&gt;"#"),IF(LEFT(CC174,1)="-",REPLACE(CC174,1,1,tech!$H$2),CC174),"")</f>
        <v/>
      </c>
      <c r="CH174" t="s">
        <v>495</v>
      </c>
      <c r="CI174" s="492"/>
      <c r="CJ174" t="str">
        <f t="shared" si="188"/>
        <v>Periodically review knowledge</v>
      </c>
      <c r="CK174" t="str">
        <f t="shared" si="205"/>
        <v>References</v>
      </c>
      <c r="CL174" t="str">
        <f t="shared" si="220"/>
        <v>4.2.5.RX</v>
      </c>
      <c r="CM174" t="str">
        <f>IF(AND(CI174&lt;&gt;"",LEFT(CI174,1)&lt;&gt;"#"),IF(LEFT(CI174,1)="-",REPLACE(CI174,1,1,tech!$H$2),CI174),"")</f>
        <v/>
      </c>
      <c r="CN174" t="s">
        <v>495</v>
      </c>
      <c r="CO174" s="492"/>
      <c r="CP174" t="str">
        <f t="shared" si="189"/>
        <v>Timely communication of important information</v>
      </c>
      <c r="CQ174" t="str">
        <f t="shared" si="206"/>
        <v>References</v>
      </c>
      <c r="CR174" t="str">
        <f t="shared" si="221"/>
        <v>4.3.4.RX</v>
      </c>
      <c r="CS174" t="str">
        <f>IF(AND(CO174&lt;&gt;"",LEFT(CO174,1)&lt;&gt;"#"),IF(LEFT(CO174,1)="-",REPLACE(CO174,1,1,tech!$H$2),CO174),"")</f>
        <v/>
      </c>
      <c r="CT174" t="s">
        <v>495</v>
      </c>
    </row>
    <row r="175" spans="15:98" x14ac:dyDescent="0.25">
      <c r="O175" s="492"/>
      <c r="P175" t="str">
        <f t="shared" si="222"/>
        <v>Policies are periodically reviewed and updated</v>
      </c>
      <c r="Q175" t="str">
        <f t="shared" si="223"/>
        <v>References</v>
      </c>
      <c r="R175" t="str">
        <f t="shared" si="224"/>
        <v>1.2.5.RX</v>
      </c>
      <c r="S175" t="str">
        <f>IF(AND(O175&lt;&gt;"",LEFT(O175,1)&lt;&gt;"#"),IF(LEFT(O175,1)="-",REPLACE(O175,1,1,tech!$H$2),O175),"")</f>
        <v/>
      </c>
      <c r="T175" t="s">
        <v>495</v>
      </c>
      <c r="U175" s="492"/>
      <c r="V175" t="str">
        <f t="shared" si="225"/>
        <v>List of relevant laws, regulations, and standards, exist and is maintained</v>
      </c>
      <c r="W175" t="str">
        <f t="shared" si="226"/>
        <v>References</v>
      </c>
      <c r="X175" t="str">
        <f t="shared" si="227"/>
        <v>1.3.4.RX</v>
      </c>
      <c r="Y175" t="str">
        <f>IF(AND(U175&lt;&gt;"",LEFT(U175,1)&lt;&gt;"#"),IF(LEFT(U175,1)="-",REPLACE(U175,1,1,tech!$H$2),U175),"")</f>
        <v/>
      </c>
      <c r="Z175" t="s">
        <v>495</v>
      </c>
      <c r="AA175" s="492"/>
      <c r="AB175" t="str">
        <f t="shared" si="228"/>
        <v>Processes and procedures are reviewed and updated</v>
      </c>
      <c r="AC175" t="str">
        <f t="shared" si="229"/>
        <v>References</v>
      </c>
      <c r="AD175" t="str">
        <f t="shared" si="230"/>
        <v>1.4.5.RX</v>
      </c>
      <c r="AE175" t="str">
        <f>IF(AND(AA175&lt;&gt;"",LEFT(AA175,1)&lt;&gt;"#"),IF(LEFT(AA175,1)="-",REPLACE(AA175,1,1,tech!$H$2),AA175),"")</f>
        <v/>
      </c>
      <c r="AF175" t="s">
        <v>495</v>
      </c>
      <c r="AG175" s="492"/>
      <c r="AH175" t="str">
        <f t="shared" si="231"/>
        <v>Key management is periodically reviewed and updated</v>
      </c>
      <c r="AI175" t="str">
        <f t="shared" si="232"/>
        <v>References</v>
      </c>
      <c r="AJ175" t="str">
        <f t="shared" si="233"/>
        <v>2.1.6.RX</v>
      </c>
      <c r="AK175" t="str">
        <f>IF(AND(AG175&lt;&gt;"",LEFT(AG175,1)&lt;&gt;"#"),IF(LEFT(AG175,1)="-",REPLACE(AG175,1,1,tech!$H$2),AG175),"")</f>
        <v/>
      </c>
      <c r="AL175" t="s">
        <v>495</v>
      </c>
      <c r="AM175" s="492" t="s">
        <v>733</v>
      </c>
      <c r="AN175" t="str">
        <f t="shared" si="180"/>
        <v>Certificate management is periodically reviewed and updated</v>
      </c>
      <c r="AO175" t="str">
        <f t="shared" si="197"/>
        <v>Guidance</v>
      </c>
      <c r="AP175" t="str">
        <f t="shared" si="212"/>
        <v>2.2.6.GY</v>
      </c>
      <c r="AQ175" t="str">
        <f>IF(AND(AM175&lt;&gt;"",LEFT(AM175,1)&lt;&gt;"#"),IF(LEFT(AM175,1)="-",REPLACE(AM175,1,1,tech!$H$2),AM175),"")</f>
        <v>It provides assurance that the expected controls are active and working as intended.</v>
      </c>
      <c r="AR175" t="s">
        <v>495</v>
      </c>
      <c r="AS175" s="492"/>
      <c r="AT175" t="str">
        <f t="shared" si="181"/>
        <v>Infrastructure activities are periodically reviewed</v>
      </c>
      <c r="AU175" t="str">
        <f t="shared" si="198"/>
        <v>References</v>
      </c>
      <c r="AV175" t="str">
        <f t="shared" si="213"/>
        <v>2.3.5.RX</v>
      </c>
      <c r="AW175" t="str">
        <f>IF(AND(AS175&lt;&gt;"",LEFT(AS175,1)&lt;&gt;"#"),IF(LEFT(AS175,1)="-",REPLACE(AS175,1,1,tech!$H$2),AS175),"")</f>
        <v/>
      </c>
      <c r="AX175" t="s">
        <v>495</v>
      </c>
      <c r="AY175" s="492"/>
      <c r="AZ175" t="str">
        <f t="shared" si="182"/>
        <v>Change management and agility is periodically reviewed</v>
      </c>
      <c r="BA175" t="str">
        <f t="shared" si="199"/>
        <v>References</v>
      </c>
      <c r="BB175" t="str">
        <f t="shared" si="214"/>
        <v>2.4.5.RX</v>
      </c>
      <c r="BC175" t="str">
        <f>IF(AND(AY175&lt;&gt;"",LEFT(AY175,1)&lt;&gt;"#"),IF(LEFT(AY175,1)="-",REPLACE(AY175,1,1,tech!$H$2),AY175),"")</f>
        <v/>
      </c>
      <c r="BD175" t="s">
        <v>495</v>
      </c>
      <c r="BE175" s="492"/>
      <c r="BF175" t="str">
        <f t="shared" si="183"/>
        <v>Continual review and improvement</v>
      </c>
      <c r="BG175" t="str">
        <f t="shared" si="200"/>
        <v>References</v>
      </c>
      <c r="BH175" t="str">
        <f t="shared" si="215"/>
        <v>3.1.6.RX</v>
      </c>
      <c r="BI175" t="str">
        <f>IF(AND(BE175&lt;&gt;"",LEFT(BE175,1)&lt;&gt;"#"),IF(LEFT(BE175,1)="-",REPLACE(BE175,1,1,tech!$H$2),BE175),"")</f>
        <v/>
      </c>
      <c r="BJ175" t="s">
        <v>495</v>
      </c>
      <c r="BK175" s="492"/>
      <c r="BL175" t="str">
        <f t="shared" si="184"/>
        <v>Adoption and application of open standards</v>
      </c>
      <c r="BM175" t="str">
        <f t="shared" si="201"/>
        <v>References</v>
      </c>
      <c r="BN175" t="str">
        <f t="shared" si="216"/>
        <v>3.2.3.RX</v>
      </c>
      <c r="BO175" t="str">
        <f>IF(AND(BK175&lt;&gt;"",LEFT(BK175,1)&lt;&gt;"#"),IF(LEFT(BK175,1)="-",REPLACE(BK175,1,1,tech!$H$2),BK175),"")</f>
        <v/>
      </c>
      <c r="BP175" t="s">
        <v>495</v>
      </c>
      <c r="BQ175" s="492"/>
      <c r="BR175" t="str">
        <f t="shared" si="185"/>
        <v>Review of events and logs is periodically performed</v>
      </c>
      <c r="BS175" t="str">
        <f t="shared" si="202"/>
        <v>References</v>
      </c>
      <c r="BT175" t="str">
        <f t="shared" si="217"/>
        <v>3.3.6.RX</v>
      </c>
      <c r="BU175" t="str">
        <f>IF(AND(BQ175&lt;&gt;"",LEFT(BQ175,1)&lt;&gt;"#"),IF(LEFT(BQ175,1)="-",REPLACE(BQ175,1,1,tech!$H$2),BQ175),"")</f>
        <v/>
      </c>
      <c r="BV175" t="s">
        <v>495</v>
      </c>
      <c r="BW175" s="492"/>
      <c r="BX175" t="str">
        <f t="shared" si="186"/>
        <v>Incidents and exceptions handling</v>
      </c>
      <c r="BY175" t="str">
        <f t="shared" si="203"/>
        <v>References</v>
      </c>
      <c r="BZ175" t="str">
        <f t="shared" si="218"/>
        <v>3.4.3.RX</v>
      </c>
      <c r="CA175" t="str">
        <f>IF(AND(BW175&lt;&gt;"",LEFT(BW175,1)&lt;&gt;"#"),IF(LEFT(BW175,1)="-",REPLACE(BW175,1,1,tech!$H$2),BW175),"")</f>
        <v/>
      </c>
      <c r="CB175" t="s">
        <v>495</v>
      </c>
      <c r="CC175" s="492"/>
      <c r="CD175" t="str">
        <f t="shared" si="187"/>
        <v>Resources are periodically reviewed</v>
      </c>
      <c r="CE175" t="str">
        <f t="shared" si="204"/>
        <v>References</v>
      </c>
      <c r="CF175" t="str">
        <f t="shared" si="219"/>
        <v>4.1.4.RX</v>
      </c>
      <c r="CG175" t="str">
        <f>IF(AND(CC175&lt;&gt;"",LEFT(CC175,1)&lt;&gt;"#"),IF(LEFT(CC175,1)="-",REPLACE(CC175,1,1,tech!$H$2),CC175),"")</f>
        <v/>
      </c>
      <c r="CH175" t="s">
        <v>495</v>
      </c>
      <c r="CI175" s="492"/>
      <c r="CJ175" t="str">
        <f t="shared" si="188"/>
        <v>Periodically review knowledge</v>
      </c>
      <c r="CK175" t="str">
        <f t="shared" si="205"/>
        <v>References</v>
      </c>
      <c r="CL175" t="str">
        <f t="shared" si="220"/>
        <v>4.2.5.RX</v>
      </c>
      <c r="CM175" t="str">
        <f>IF(AND(CI175&lt;&gt;"",LEFT(CI175,1)&lt;&gt;"#"),IF(LEFT(CI175,1)="-",REPLACE(CI175,1,1,tech!$H$2),CI175),"")</f>
        <v/>
      </c>
      <c r="CN175" t="s">
        <v>495</v>
      </c>
      <c r="CO175" s="492"/>
      <c r="CP175" t="str">
        <f t="shared" si="189"/>
        <v>Timely communication of important information</v>
      </c>
      <c r="CQ175" t="str">
        <f t="shared" si="206"/>
        <v>References</v>
      </c>
      <c r="CR175" t="str">
        <f t="shared" si="221"/>
        <v>4.3.4.RX</v>
      </c>
      <c r="CS175" t="str">
        <f>IF(AND(CO175&lt;&gt;"",LEFT(CO175,1)&lt;&gt;"#"),IF(LEFT(CO175,1)="-",REPLACE(CO175,1,1,tech!$H$2),CO175),"")</f>
        <v/>
      </c>
      <c r="CT175" t="s">
        <v>495</v>
      </c>
    </row>
    <row r="176" spans="15:98" x14ac:dyDescent="0.25">
      <c r="O176" s="492"/>
      <c r="P176" t="str">
        <f t="shared" si="222"/>
        <v>Policies are periodically reviewed and updated</v>
      </c>
      <c r="Q176" t="str">
        <f t="shared" si="223"/>
        <v>References</v>
      </c>
      <c r="R176" t="str">
        <f t="shared" si="224"/>
        <v>1.2.5.RX</v>
      </c>
      <c r="S176" t="str">
        <f>IF(AND(O176&lt;&gt;"",LEFT(O176,1)&lt;&gt;"#"),IF(LEFT(O176,1)="-",REPLACE(O176,1,1,tech!$H$2),O176),"")</f>
        <v/>
      </c>
      <c r="T176" t="s">
        <v>495</v>
      </c>
      <c r="U176" s="492"/>
      <c r="V176" t="str">
        <f t="shared" si="225"/>
        <v>List of relevant laws, regulations, and standards, exist and is maintained</v>
      </c>
      <c r="W176" t="str">
        <f t="shared" si="226"/>
        <v>References</v>
      </c>
      <c r="X176" t="str">
        <f t="shared" si="227"/>
        <v>1.3.4.RX</v>
      </c>
      <c r="Y176" t="str">
        <f>IF(AND(U176&lt;&gt;"",LEFT(U176,1)&lt;&gt;"#"),IF(LEFT(U176,1)="-",REPLACE(U176,1,1,tech!$H$2),U176),"")</f>
        <v/>
      </c>
      <c r="Z176" t="s">
        <v>495</v>
      </c>
      <c r="AA176" s="492"/>
      <c r="AB176" t="str">
        <f t="shared" si="228"/>
        <v>Processes and procedures are reviewed and updated</v>
      </c>
      <c r="AC176" t="str">
        <f t="shared" si="229"/>
        <v>References</v>
      </c>
      <c r="AD176" t="str">
        <f t="shared" si="230"/>
        <v>1.4.5.RX</v>
      </c>
      <c r="AE176" t="str">
        <f>IF(AND(AA176&lt;&gt;"",LEFT(AA176,1)&lt;&gt;"#"),IF(LEFT(AA176,1)="-",REPLACE(AA176,1,1,tech!$H$2),AA176),"")</f>
        <v/>
      </c>
      <c r="AF176" t="s">
        <v>495</v>
      </c>
      <c r="AG176" s="492"/>
      <c r="AH176" t="str">
        <f t="shared" si="231"/>
        <v>Key management is periodically reviewed and updated</v>
      </c>
      <c r="AI176" t="str">
        <f t="shared" si="232"/>
        <v>References</v>
      </c>
      <c r="AJ176" t="str">
        <f t="shared" si="233"/>
        <v>2.1.6.RX</v>
      </c>
      <c r="AK176" t="str">
        <f>IF(AND(AG176&lt;&gt;"",LEFT(AG176,1)&lt;&gt;"#"),IF(LEFT(AG176,1)="-",REPLACE(AG176,1,1,tech!$H$2),AG176),"")</f>
        <v/>
      </c>
      <c r="AL176" t="s">
        <v>495</v>
      </c>
      <c r="AM176" s="492"/>
      <c r="AN176" t="str">
        <f t="shared" si="180"/>
        <v>Certificate management is periodically reviewed and updated</v>
      </c>
      <c r="AO176" t="str">
        <f t="shared" si="197"/>
        <v>Guidance</v>
      </c>
      <c r="AP176" t="str">
        <f t="shared" si="212"/>
        <v>2.2.6.GX</v>
      </c>
      <c r="AQ176" t="str">
        <f>IF(AND(AM176&lt;&gt;"",LEFT(AM176,1)&lt;&gt;"#"),IF(LEFT(AM176,1)="-",REPLACE(AM176,1,1,tech!$H$2),AM176),"")</f>
        <v/>
      </c>
      <c r="AR176" t="s">
        <v>495</v>
      </c>
      <c r="AS176" s="492"/>
      <c r="AT176" t="str">
        <f t="shared" si="181"/>
        <v>Infrastructure activities are periodically reviewed</v>
      </c>
      <c r="AU176" t="str">
        <f t="shared" si="198"/>
        <v>References</v>
      </c>
      <c r="AV176" t="str">
        <f t="shared" si="213"/>
        <v>2.3.5.RX</v>
      </c>
      <c r="AW176" t="str">
        <f>IF(AND(AS176&lt;&gt;"",LEFT(AS176,1)&lt;&gt;"#"),IF(LEFT(AS176,1)="-",REPLACE(AS176,1,1,tech!$H$2),AS176),"")</f>
        <v/>
      </c>
      <c r="AX176" t="s">
        <v>495</v>
      </c>
      <c r="AY176" s="492"/>
      <c r="AZ176" t="str">
        <f t="shared" si="182"/>
        <v>Change management and agility is periodically reviewed</v>
      </c>
      <c r="BA176" t="str">
        <f t="shared" si="199"/>
        <v>References</v>
      </c>
      <c r="BB176" t="str">
        <f t="shared" si="214"/>
        <v>2.4.5.RX</v>
      </c>
      <c r="BC176" t="str">
        <f>IF(AND(AY176&lt;&gt;"",LEFT(AY176,1)&lt;&gt;"#"),IF(LEFT(AY176,1)="-",REPLACE(AY176,1,1,tech!$H$2),AY176),"")</f>
        <v/>
      </c>
      <c r="BD176" t="s">
        <v>495</v>
      </c>
      <c r="BE176" s="492"/>
      <c r="BF176" t="str">
        <f t="shared" si="183"/>
        <v>Continual review and improvement</v>
      </c>
      <c r="BG176" t="str">
        <f t="shared" si="200"/>
        <v>References</v>
      </c>
      <c r="BH176" t="str">
        <f t="shared" si="215"/>
        <v>3.1.6.RX</v>
      </c>
      <c r="BI176" t="str">
        <f>IF(AND(BE176&lt;&gt;"",LEFT(BE176,1)&lt;&gt;"#"),IF(LEFT(BE176,1)="-",REPLACE(BE176,1,1,tech!$H$2),BE176),"")</f>
        <v/>
      </c>
      <c r="BJ176" t="s">
        <v>495</v>
      </c>
      <c r="BK176" s="492"/>
      <c r="BL176" t="str">
        <f t="shared" si="184"/>
        <v>Adoption and application of open standards</v>
      </c>
      <c r="BM176" t="str">
        <f t="shared" si="201"/>
        <v>References</v>
      </c>
      <c r="BN176" t="str">
        <f t="shared" si="216"/>
        <v>3.2.3.RX</v>
      </c>
      <c r="BO176" t="str">
        <f>IF(AND(BK176&lt;&gt;"",LEFT(BK176,1)&lt;&gt;"#"),IF(LEFT(BK176,1)="-",REPLACE(BK176,1,1,tech!$H$2),BK176),"")</f>
        <v/>
      </c>
      <c r="BP176" t="s">
        <v>495</v>
      </c>
      <c r="BQ176" s="492"/>
      <c r="BR176" t="str">
        <f t="shared" si="185"/>
        <v>Review of events and logs is periodically performed</v>
      </c>
      <c r="BS176" t="str">
        <f t="shared" si="202"/>
        <v>References</v>
      </c>
      <c r="BT176" t="str">
        <f t="shared" si="217"/>
        <v>3.3.6.RX</v>
      </c>
      <c r="BU176" t="str">
        <f>IF(AND(BQ176&lt;&gt;"",LEFT(BQ176,1)&lt;&gt;"#"),IF(LEFT(BQ176,1)="-",REPLACE(BQ176,1,1,tech!$H$2),BQ176),"")</f>
        <v/>
      </c>
      <c r="BV176" t="s">
        <v>495</v>
      </c>
      <c r="BW176" s="492"/>
      <c r="BX176" t="str">
        <f t="shared" si="186"/>
        <v>Incidents and exceptions handling</v>
      </c>
      <c r="BY176" t="str">
        <f t="shared" si="203"/>
        <v>References</v>
      </c>
      <c r="BZ176" t="str">
        <f t="shared" si="218"/>
        <v>3.4.3.RX</v>
      </c>
      <c r="CA176" t="str">
        <f>IF(AND(BW176&lt;&gt;"",LEFT(BW176,1)&lt;&gt;"#"),IF(LEFT(BW176,1)="-",REPLACE(BW176,1,1,tech!$H$2),BW176),"")</f>
        <v/>
      </c>
      <c r="CB176" t="s">
        <v>495</v>
      </c>
      <c r="CC176" s="492"/>
      <c r="CD176" t="str">
        <f t="shared" si="187"/>
        <v>Resources are periodically reviewed</v>
      </c>
      <c r="CE176" t="str">
        <f t="shared" si="204"/>
        <v>References</v>
      </c>
      <c r="CF176" t="str">
        <f t="shared" si="219"/>
        <v>4.1.4.RX</v>
      </c>
      <c r="CG176" t="str">
        <f>IF(AND(CC176&lt;&gt;"",LEFT(CC176,1)&lt;&gt;"#"),IF(LEFT(CC176,1)="-",REPLACE(CC176,1,1,tech!$H$2),CC176),"")</f>
        <v/>
      </c>
      <c r="CH176" t="s">
        <v>495</v>
      </c>
      <c r="CI176" s="492"/>
      <c r="CJ176" t="str">
        <f t="shared" si="188"/>
        <v>Periodically review knowledge</v>
      </c>
      <c r="CK176" t="str">
        <f t="shared" si="205"/>
        <v>References</v>
      </c>
      <c r="CL176" t="str">
        <f t="shared" si="220"/>
        <v>4.2.5.RX</v>
      </c>
      <c r="CM176" t="str">
        <f>IF(AND(CI176&lt;&gt;"",LEFT(CI176,1)&lt;&gt;"#"),IF(LEFT(CI176,1)="-",REPLACE(CI176,1,1,tech!$H$2),CI176),"")</f>
        <v/>
      </c>
      <c r="CN176" t="s">
        <v>495</v>
      </c>
      <c r="CO176" s="492"/>
      <c r="CP176" t="str">
        <f t="shared" si="189"/>
        <v>Timely communication of important information</v>
      </c>
      <c r="CQ176" t="str">
        <f t="shared" si="206"/>
        <v>References</v>
      </c>
      <c r="CR176" t="str">
        <f t="shared" si="221"/>
        <v>4.3.4.RX</v>
      </c>
      <c r="CS176" t="str">
        <f>IF(AND(CO176&lt;&gt;"",LEFT(CO176,1)&lt;&gt;"#"),IF(LEFT(CO176,1)="-",REPLACE(CO176,1,1,tech!$H$2),CO176),"")</f>
        <v/>
      </c>
      <c r="CT176" t="s">
        <v>495</v>
      </c>
    </row>
    <row r="177" spans="15:98" x14ac:dyDescent="0.25">
      <c r="O177" s="492"/>
      <c r="P177" t="str">
        <f t="shared" si="222"/>
        <v>Policies are periodically reviewed and updated</v>
      </c>
      <c r="Q177" t="str">
        <f t="shared" si="223"/>
        <v>References</v>
      </c>
      <c r="R177" t="str">
        <f t="shared" si="224"/>
        <v>1.2.5.RX</v>
      </c>
      <c r="S177" t="str">
        <f>IF(AND(O177&lt;&gt;"",LEFT(O177,1)&lt;&gt;"#"),IF(LEFT(O177,1)="-",REPLACE(O177,1,1,tech!$H$2),O177),"")</f>
        <v/>
      </c>
      <c r="T177" t="s">
        <v>495</v>
      </c>
      <c r="U177" s="492"/>
      <c r="V177" t="str">
        <f t="shared" si="225"/>
        <v>List of relevant laws, regulations, and standards, exist and is maintained</v>
      </c>
      <c r="W177" t="str">
        <f t="shared" si="226"/>
        <v>References</v>
      </c>
      <c r="X177" t="str">
        <f t="shared" si="227"/>
        <v>1.3.4.RX</v>
      </c>
      <c r="Y177" t="str">
        <f>IF(AND(U177&lt;&gt;"",LEFT(U177,1)&lt;&gt;"#"),IF(LEFT(U177,1)="-",REPLACE(U177,1,1,tech!$H$2),U177),"")</f>
        <v/>
      </c>
      <c r="Z177" t="s">
        <v>495</v>
      </c>
      <c r="AA177" s="492"/>
      <c r="AB177" t="str">
        <f t="shared" si="228"/>
        <v>Processes and procedures are reviewed and updated</v>
      </c>
      <c r="AC177" t="str">
        <f t="shared" si="229"/>
        <v>References</v>
      </c>
      <c r="AD177" t="str">
        <f t="shared" si="230"/>
        <v>1.4.5.RX</v>
      </c>
      <c r="AE177" t="str">
        <f>IF(AND(AA177&lt;&gt;"",LEFT(AA177,1)&lt;&gt;"#"),IF(LEFT(AA177,1)="-",REPLACE(AA177,1,1,tech!$H$2),AA177),"")</f>
        <v/>
      </c>
      <c r="AF177" t="s">
        <v>495</v>
      </c>
      <c r="AG177" s="492"/>
      <c r="AH177" t="str">
        <f t="shared" si="231"/>
        <v>Key management is periodically reviewed and updated</v>
      </c>
      <c r="AI177" t="str">
        <f t="shared" si="232"/>
        <v>References</v>
      </c>
      <c r="AJ177" t="str">
        <f t="shared" si="233"/>
        <v>2.1.6.RX</v>
      </c>
      <c r="AK177" t="str">
        <f>IF(AND(AG177&lt;&gt;"",LEFT(AG177,1)&lt;&gt;"#"),IF(LEFT(AG177,1)="-",REPLACE(AG177,1,1,tech!$H$2),AG177),"")</f>
        <v/>
      </c>
      <c r="AL177" t="s">
        <v>495</v>
      </c>
      <c r="AM177" s="492" t="s">
        <v>501</v>
      </c>
      <c r="AN177" t="str">
        <f t="shared" ref="AN177:AN200" si="234">IF(AND(LEFT(AM177,1)="#",IFERROR(LEN(_xlfn.TEXTBEFORE(AM177," "))=3,0)),_xlfn.TEXTAFTER(AM177," "),AN176)</f>
        <v>Certificate management is periodically reviewed and updated</v>
      </c>
      <c r="AO177" t="str">
        <f t="shared" si="197"/>
        <v>Assessment</v>
      </c>
      <c r="AP177" t="str">
        <f t="shared" si="212"/>
        <v>2.2.6.AX</v>
      </c>
      <c r="AQ177" t="str">
        <f>IF(AND(AM177&lt;&gt;"",LEFT(AM177,1)&lt;&gt;"#"),IF(LEFT(AM177,1)="-",REPLACE(AM177,1,1,tech!$H$2),AM177),"")</f>
        <v/>
      </c>
      <c r="AR177" t="s">
        <v>495</v>
      </c>
      <c r="AS177" s="492"/>
      <c r="AT177" t="str">
        <f t="shared" ref="AT177:AT230" si="235">IF(AND(LEFT(AS177,1)="#",IFERROR(LEN(_xlfn.TEXTBEFORE(AS177," "))=3,0)),_xlfn.TEXTAFTER(AS177," "),AT176)</f>
        <v>Infrastructure activities are periodically reviewed</v>
      </c>
      <c r="AU177" t="str">
        <f t="shared" si="198"/>
        <v>References</v>
      </c>
      <c r="AV177" t="str">
        <f t="shared" si="213"/>
        <v>2.3.5.RX</v>
      </c>
      <c r="AW177" t="str">
        <f>IF(AND(AS177&lt;&gt;"",LEFT(AS177,1)&lt;&gt;"#"),IF(LEFT(AS177,1)="-",REPLACE(AS177,1,1,tech!$H$2),AS177),"")</f>
        <v/>
      </c>
      <c r="AX177" t="s">
        <v>495</v>
      </c>
      <c r="AY177" s="492"/>
      <c r="AZ177" t="str">
        <f t="shared" ref="AZ177:AZ230" si="236">IF(AND(LEFT(AY177,1)="#",IFERROR(LEN(_xlfn.TEXTBEFORE(AY177," "))=3,0)),_xlfn.TEXTAFTER(AY177," "),AZ176)</f>
        <v>Change management and agility is periodically reviewed</v>
      </c>
      <c r="BA177" t="str">
        <f t="shared" si="199"/>
        <v>References</v>
      </c>
      <c r="BB177" t="str">
        <f t="shared" si="214"/>
        <v>2.4.5.RX</v>
      </c>
      <c r="BC177" t="str">
        <f>IF(AND(AY177&lt;&gt;"",LEFT(AY177,1)&lt;&gt;"#"),IF(LEFT(AY177,1)="-",REPLACE(AY177,1,1,tech!$H$2),AY177),"")</f>
        <v/>
      </c>
      <c r="BD177" t="s">
        <v>495</v>
      </c>
      <c r="BE177" s="492"/>
      <c r="BF177" t="str">
        <f t="shared" ref="BF177:BF230" si="237">IF(AND(LEFT(BE177,1)="#",IFERROR(LEN(_xlfn.TEXTBEFORE(BE177," "))=3,0)),_xlfn.TEXTAFTER(BE177," "),BF176)</f>
        <v>Continual review and improvement</v>
      </c>
      <c r="BG177" t="str">
        <f t="shared" si="200"/>
        <v>References</v>
      </c>
      <c r="BH177" t="str">
        <f t="shared" si="215"/>
        <v>3.1.6.RX</v>
      </c>
      <c r="BI177" t="str">
        <f>IF(AND(BE177&lt;&gt;"",LEFT(BE177,1)&lt;&gt;"#"),IF(LEFT(BE177,1)="-",REPLACE(BE177,1,1,tech!$H$2),BE177),"")</f>
        <v/>
      </c>
      <c r="BJ177" t="s">
        <v>495</v>
      </c>
      <c r="BK177" s="492"/>
      <c r="BL177" t="str">
        <f t="shared" ref="BL177:BL230" si="238">IF(AND(LEFT(BK177,1)="#",IFERROR(LEN(_xlfn.TEXTBEFORE(BK177," "))=3,0)),_xlfn.TEXTAFTER(BK177," "),BL176)</f>
        <v>Adoption and application of open standards</v>
      </c>
      <c r="BM177" t="str">
        <f t="shared" si="201"/>
        <v>References</v>
      </c>
      <c r="BN177" t="str">
        <f t="shared" si="216"/>
        <v>3.2.3.RX</v>
      </c>
      <c r="BO177" t="str">
        <f>IF(AND(BK177&lt;&gt;"",LEFT(BK177,1)&lt;&gt;"#"),IF(LEFT(BK177,1)="-",REPLACE(BK177,1,1,tech!$H$2),BK177),"")</f>
        <v/>
      </c>
      <c r="BP177" t="s">
        <v>495</v>
      </c>
      <c r="BQ177" s="492"/>
      <c r="BR177" t="str">
        <f t="shared" ref="BR177:BR230" si="239">IF(AND(LEFT(BQ177,1)="#",IFERROR(LEN(_xlfn.TEXTBEFORE(BQ177," "))=3,0)),_xlfn.TEXTAFTER(BQ177," "),BR176)</f>
        <v>Review of events and logs is periodically performed</v>
      </c>
      <c r="BS177" t="str">
        <f t="shared" si="202"/>
        <v>References</v>
      </c>
      <c r="BT177" t="str">
        <f t="shared" si="217"/>
        <v>3.3.6.RX</v>
      </c>
      <c r="BU177" t="str">
        <f>IF(AND(BQ177&lt;&gt;"",LEFT(BQ177,1)&lt;&gt;"#"),IF(LEFT(BQ177,1)="-",REPLACE(BQ177,1,1,tech!$H$2),BQ177),"")</f>
        <v/>
      </c>
      <c r="BV177" t="s">
        <v>495</v>
      </c>
      <c r="BW177" s="492"/>
      <c r="BX177" t="str">
        <f t="shared" ref="BX177:BX230" si="240">IF(AND(LEFT(BW177,1)="#",IFERROR(LEN(_xlfn.TEXTBEFORE(BW177," "))=3,0)),_xlfn.TEXTAFTER(BW177," "),BX176)</f>
        <v>Incidents and exceptions handling</v>
      </c>
      <c r="BY177" t="str">
        <f t="shared" si="203"/>
        <v>References</v>
      </c>
      <c r="BZ177" t="str">
        <f t="shared" si="218"/>
        <v>3.4.3.RX</v>
      </c>
      <c r="CA177" t="str">
        <f>IF(AND(BW177&lt;&gt;"",LEFT(BW177,1)&lt;&gt;"#"),IF(LEFT(BW177,1)="-",REPLACE(BW177,1,1,tech!$H$2),BW177),"")</f>
        <v/>
      </c>
      <c r="CB177" t="s">
        <v>495</v>
      </c>
      <c r="CC177" s="492"/>
      <c r="CD177" t="str">
        <f t="shared" ref="CD177:CD230" si="241">IF(AND(LEFT(CC177,1)="#",IFERROR(LEN(_xlfn.TEXTBEFORE(CC177," "))=3,0)),_xlfn.TEXTAFTER(CC177," "),CD176)</f>
        <v>Resources are periodically reviewed</v>
      </c>
      <c r="CE177" t="str">
        <f t="shared" si="204"/>
        <v>References</v>
      </c>
      <c r="CF177" t="str">
        <f t="shared" si="219"/>
        <v>4.1.4.RX</v>
      </c>
      <c r="CG177" t="str">
        <f>IF(AND(CC177&lt;&gt;"",LEFT(CC177,1)&lt;&gt;"#"),IF(LEFT(CC177,1)="-",REPLACE(CC177,1,1,tech!$H$2),CC177),"")</f>
        <v/>
      </c>
      <c r="CH177" t="s">
        <v>495</v>
      </c>
      <c r="CI177" s="492"/>
      <c r="CJ177" t="str">
        <f t="shared" ref="CJ177:CJ230" si="242">IF(AND(LEFT(CI177,1)="#",IFERROR(LEN(_xlfn.TEXTBEFORE(CI177," "))=3,0)),_xlfn.TEXTAFTER(CI177," "),CJ176)</f>
        <v>Periodically review knowledge</v>
      </c>
      <c r="CK177" t="str">
        <f t="shared" si="205"/>
        <v>References</v>
      </c>
      <c r="CL177" t="str">
        <f t="shared" si="220"/>
        <v>4.2.5.RX</v>
      </c>
      <c r="CM177" t="str">
        <f>IF(AND(CI177&lt;&gt;"",LEFT(CI177,1)&lt;&gt;"#"),IF(LEFT(CI177,1)="-",REPLACE(CI177,1,1,tech!$H$2),CI177),"")</f>
        <v/>
      </c>
      <c r="CN177" t="s">
        <v>495</v>
      </c>
      <c r="CO177" s="492"/>
      <c r="CP177" t="str">
        <f t="shared" ref="CP177:CP230" si="243">IF(AND(LEFT(CO177,1)="#",IFERROR(LEN(_xlfn.TEXTBEFORE(CO177," "))=3,0)),_xlfn.TEXTAFTER(CO177," "),CP176)</f>
        <v>Timely communication of important information</v>
      </c>
      <c r="CQ177" t="str">
        <f t="shared" si="206"/>
        <v>References</v>
      </c>
      <c r="CR177" t="str">
        <f t="shared" si="221"/>
        <v>4.3.4.RX</v>
      </c>
      <c r="CS177" t="str">
        <f>IF(AND(CO177&lt;&gt;"",LEFT(CO177,1)&lt;&gt;"#"),IF(LEFT(CO177,1)="-",REPLACE(CO177,1,1,tech!$H$2),CO177),"")</f>
        <v/>
      </c>
      <c r="CT177" t="s">
        <v>495</v>
      </c>
    </row>
    <row r="178" spans="15:98" x14ac:dyDescent="0.25">
      <c r="O178" s="492"/>
      <c r="P178" t="str">
        <f t="shared" si="222"/>
        <v>Policies are periodically reviewed and updated</v>
      </c>
      <c r="Q178" t="str">
        <f t="shared" si="223"/>
        <v>References</v>
      </c>
      <c r="R178" t="str">
        <f t="shared" si="224"/>
        <v>1.2.5.RX</v>
      </c>
      <c r="S178" t="str">
        <f>IF(AND(O178&lt;&gt;"",LEFT(O178,1)&lt;&gt;"#"),IF(LEFT(O178,1)="-",REPLACE(O178,1,1,tech!$H$2),O178),"")</f>
        <v/>
      </c>
      <c r="T178" t="s">
        <v>495</v>
      </c>
      <c r="U178" s="492"/>
      <c r="V178" t="str">
        <f t="shared" si="225"/>
        <v>List of relevant laws, regulations, and standards, exist and is maintained</v>
      </c>
      <c r="W178" t="str">
        <f t="shared" si="226"/>
        <v>References</v>
      </c>
      <c r="X178" t="str">
        <f t="shared" si="227"/>
        <v>1.3.4.RX</v>
      </c>
      <c r="Y178" t="str">
        <f>IF(AND(U178&lt;&gt;"",LEFT(U178,1)&lt;&gt;"#"),IF(LEFT(U178,1)="-",REPLACE(U178,1,1,tech!$H$2),U178),"")</f>
        <v/>
      </c>
      <c r="Z178" t="s">
        <v>495</v>
      </c>
      <c r="AA178" s="492"/>
      <c r="AB178" t="str">
        <f t="shared" si="228"/>
        <v>Processes and procedures are reviewed and updated</v>
      </c>
      <c r="AC178" t="str">
        <f t="shared" si="229"/>
        <v>References</v>
      </c>
      <c r="AD178" t="str">
        <f t="shared" si="230"/>
        <v>1.4.5.RX</v>
      </c>
      <c r="AE178" t="str">
        <f>IF(AND(AA178&lt;&gt;"",LEFT(AA178,1)&lt;&gt;"#"),IF(LEFT(AA178,1)="-",REPLACE(AA178,1,1,tech!$H$2),AA178),"")</f>
        <v/>
      </c>
      <c r="AF178" t="s">
        <v>495</v>
      </c>
      <c r="AG178" s="492"/>
      <c r="AH178" t="str">
        <f t="shared" si="231"/>
        <v>Key management is periodically reviewed and updated</v>
      </c>
      <c r="AI178" t="str">
        <f t="shared" si="232"/>
        <v>References</v>
      </c>
      <c r="AJ178" t="str">
        <f t="shared" si="233"/>
        <v>2.1.6.RX</v>
      </c>
      <c r="AK178" t="str">
        <f>IF(AND(AG178&lt;&gt;"",LEFT(AG178,1)&lt;&gt;"#"),IF(LEFT(AG178,1)="-",REPLACE(AG178,1,1,tech!$H$2),AG178),"")</f>
        <v/>
      </c>
      <c r="AL178" t="s">
        <v>495</v>
      </c>
      <c r="AM178" s="492"/>
      <c r="AN178" t="str">
        <f t="shared" si="234"/>
        <v>Certificate management is periodically reviewed and updated</v>
      </c>
      <c r="AO178" t="str">
        <f t="shared" si="197"/>
        <v>Assessment</v>
      </c>
      <c r="AP178" t="str">
        <f t="shared" si="212"/>
        <v>2.2.6.AX</v>
      </c>
      <c r="AQ178" t="str">
        <f>IF(AND(AM178&lt;&gt;"",LEFT(AM178,1)&lt;&gt;"#"),IF(LEFT(AM178,1)="-",REPLACE(AM178,1,1,tech!$H$2),AM178),"")</f>
        <v/>
      </c>
      <c r="AR178" t="s">
        <v>495</v>
      </c>
      <c r="AS178" s="492"/>
      <c r="AT178" t="str">
        <f t="shared" si="235"/>
        <v>Infrastructure activities are periodically reviewed</v>
      </c>
      <c r="AU178" t="str">
        <f t="shared" si="198"/>
        <v>References</v>
      </c>
      <c r="AV178" t="str">
        <f t="shared" si="213"/>
        <v>2.3.5.RX</v>
      </c>
      <c r="AW178" t="str">
        <f>IF(AND(AS178&lt;&gt;"",LEFT(AS178,1)&lt;&gt;"#"),IF(LEFT(AS178,1)="-",REPLACE(AS178,1,1,tech!$H$2),AS178),"")</f>
        <v/>
      </c>
      <c r="AX178" t="s">
        <v>495</v>
      </c>
      <c r="AY178" s="492"/>
      <c r="AZ178" t="str">
        <f t="shared" si="236"/>
        <v>Change management and agility is periodically reviewed</v>
      </c>
      <c r="BA178" t="str">
        <f t="shared" si="199"/>
        <v>References</v>
      </c>
      <c r="BB178" t="str">
        <f t="shared" si="214"/>
        <v>2.4.5.RX</v>
      </c>
      <c r="BC178" t="str">
        <f>IF(AND(AY178&lt;&gt;"",LEFT(AY178,1)&lt;&gt;"#"),IF(LEFT(AY178,1)="-",REPLACE(AY178,1,1,tech!$H$2),AY178),"")</f>
        <v/>
      </c>
      <c r="BD178" t="s">
        <v>495</v>
      </c>
      <c r="BE178" s="492"/>
      <c r="BF178" t="str">
        <f t="shared" si="237"/>
        <v>Continual review and improvement</v>
      </c>
      <c r="BG178" t="str">
        <f t="shared" si="200"/>
        <v>References</v>
      </c>
      <c r="BH178" t="str">
        <f t="shared" si="215"/>
        <v>3.1.6.RX</v>
      </c>
      <c r="BI178" t="str">
        <f>IF(AND(BE178&lt;&gt;"",LEFT(BE178,1)&lt;&gt;"#"),IF(LEFT(BE178,1)="-",REPLACE(BE178,1,1,tech!$H$2),BE178),"")</f>
        <v/>
      </c>
      <c r="BJ178" t="s">
        <v>495</v>
      </c>
      <c r="BK178" s="492"/>
      <c r="BL178" t="str">
        <f t="shared" si="238"/>
        <v>Adoption and application of open standards</v>
      </c>
      <c r="BM178" t="str">
        <f t="shared" si="201"/>
        <v>References</v>
      </c>
      <c r="BN178" t="str">
        <f t="shared" si="216"/>
        <v>3.2.3.RX</v>
      </c>
      <c r="BO178" t="str">
        <f>IF(AND(BK178&lt;&gt;"",LEFT(BK178,1)&lt;&gt;"#"),IF(LEFT(BK178,1)="-",REPLACE(BK178,1,1,tech!$H$2),BK178),"")</f>
        <v/>
      </c>
      <c r="BP178" t="s">
        <v>495</v>
      </c>
      <c r="BQ178" s="492"/>
      <c r="BR178" t="str">
        <f t="shared" si="239"/>
        <v>Review of events and logs is periodically performed</v>
      </c>
      <c r="BS178" t="str">
        <f t="shared" si="202"/>
        <v>References</v>
      </c>
      <c r="BT178" t="str">
        <f t="shared" si="217"/>
        <v>3.3.6.RX</v>
      </c>
      <c r="BU178" t="str">
        <f>IF(AND(BQ178&lt;&gt;"",LEFT(BQ178,1)&lt;&gt;"#"),IF(LEFT(BQ178,1)="-",REPLACE(BQ178,1,1,tech!$H$2),BQ178),"")</f>
        <v/>
      </c>
      <c r="BV178" t="s">
        <v>495</v>
      </c>
      <c r="BW178" s="492"/>
      <c r="BX178" t="str">
        <f t="shared" si="240"/>
        <v>Incidents and exceptions handling</v>
      </c>
      <c r="BY178" t="str">
        <f t="shared" si="203"/>
        <v>References</v>
      </c>
      <c r="BZ178" t="str">
        <f t="shared" si="218"/>
        <v>3.4.3.RX</v>
      </c>
      <c r="CA178" t="str">
        <f>IF(AND(BW178&lt;&gt;"",LEFT(BW178,1)&lt;&gt;"#"),IF(LEFT(BW178,1)="-",REPLACE(BW178,1,1,tech!$H$2),BW178),"")</f>
        <v/>
      </c>
      <c r="CB178" t="s">
        <v>495</v>
      </c>
      <c r="CC178" s="492"/>
      <c r="CD178" t="str">
        <f t="shared" si="241"/>
        <v>Resources are periodically reviewed</v>
      </c>
      <c r="CE178" t="str">
        <f t="shared" si="204"/>
        <v>References</v>
      </c>
      <c r="CF178" t="str">
        <f t="shared" si="219"/>
        <v>4.1.4.RX</v>
      </c>
      <c r="CG178" t="str">
        <f>IF(AND(CC178&lt;&gt;"",LEFT(CC178,1)&lt;&gt;"#"),IF(LEFT(CC178,1)="-",REPLACE(CC178,1,1,tech!$H$2),CC178),"")</f>
        <v/>
      </c>
      <c r="CH178" t="s">
        <v>495</v>
      </c>
      <c r="CI178" s="492"/>
      <c r="CJ178" t="str">
        <f t="shared" si="242"/>
        <v>Periodically review knowledge</v>
      </c>
      <c r="CK178" t="str">
        <f t="shared" si="205"/>
        <v>References</v>
      </c>
      <c r="CL178" t="str">
        <f t="shared" si="220"/>
        <v>4.2.5.RX</v>
      </c>
      <c r="CM178" t="str">
        <f>IF(AND(CI178&lt;&gt;"",LEFT(CI178,1)&lt;&gt;"#"),IF(LEFT(CI178,1)="-",REPLACE(CI178,1,1,tech!$H$2),CI178),"")</f>
        <v/>
      </c>
      <c r="CN178" t="s">
        <v>495</v>
      </c>
      <c r="CO178" s="492"/>
      <c r="CP178" t="str">
        <f t="shared" si="243"/>
        <v>Timely communication of important information</v>
      </c>
      <c r="CQ178" t="str">
        <f t="shared" si="206"/>
        <v>References</v>
      </c>
      <c r="CR178" t="str">
        <f t="shared" si="221"/>
        <v>4.3.4.RX</v>
      </c>
      <c r="CS178" t="str">
        <f>IF(AND(CO178&lt;&gt;"",LEFT(CO178,1)&lt;&gt;"#"),IF(LEFT(CO178,1)="-",REPLACE(CO178,1,1,tech!$H$2),CO178),"")</f>
        <v/>
      </c>
      <c r="CT178" t="s">
        <v>495</v>
      </c>
    </row>
    <row r="179" spans="15:98" x14ac:dyDescent="0.25">
      <c r="O179" s="492"/>
      <c r="P179" t="str">
        <f t="shared" si="222"/>
        <v>Policies are periodically reviewed and updated</v>
      </c>
      <c r="Q179" t="str">
        <f t="shared" si="223"/>
        <v>References</v>
      </c>
      <c r="R179" t="str">
        <f t="shared" si="224"/>
        <v>1.2.5.RX</v>
      </c>
      <c r="S179" t="str">
        <f>IF(AND(O179&lt;&gt;"",LEFT(O179,1)&lt;&gt;"#"),IF(LEFT(O179,1)="-",REPLACE(O179,1,1,tech!$H$2),O179),"")</f>
        <v/>
      </c>
      <c r="T179" t="s">
        <v>495</v>
      </c>
      <c r="U179" s="492"/>
      <c r="V179" t="str">
        <f t="shared" si="225"/>
        <v>List of relevant laws, regulations, and standards, exist and is maintained</v>
      </c>
      <c r="W179" t="str">
        <f t="shared" si="226"/>
        <v>References</v>
      </c>
      <c r="X179" t="str">
        <f t="shared" si="227"/>
        <v>1.3.4.RX</v>
      </c>
      <c r="Y179" t="str">
        <f>IF(AND(U179&lt;&gt;"",LEFT(U179,1)&lt;&gt;"#"),IF(LEFT(U179,1)="-",REPLACE(U179,1,1,tech!$H$2),U179),"")</f>
        <v/>
      </c>
      <c r="Z179" t="s">
        <v>495</v>
      </c>
      <c r="AA179" s="492"/>
      <c r="AB179" t="str">
        <f t="shared" si="228"/>
        <v>Processes and procedures are reviewed and updated</v>
      </c>
      <c r="AC179" t="str">
        <f t="shared" si="229"/>
        <v>References</v>
      </c>
      <c r="AD179" t="str">
        <f t="shared" si="230"/>
        <v>1.4.5.RX</v>
      </c>
      <c r="AE179" t="str">
        <f>IF(AND(AA179&lt;&gt;"",LEFT(AA179,1)&lt;&gt;"#"),IF(LEFT(AA179,1)="-",REPLACE(AA179,1,1,tech!$H$2),AA179),"")</f>
        <v/>
      </c>
      <c r="AF179" t="s">
        <v>495</v>
      </c>
      <c r="AG179" s="492"/>
      <c r="AH179" t="str">
        <f t="shared" si="231"/>
        <v>Key management is periodically reviewed and updated</v>
      </c>
      <c r="AI179" t="str">
        <f t="shared" si="232"/>
        <v>References</v>
      </c>
      <c r="AJ179" t="str">
        <f t="shared" si="233"/>
        <v>2.1.6.RX</v>
      </c>
      <c r="AK179" t="str">
        <f>IF(AND(AG179&lt;&gt;"",LEFT(AG179,1)&lt;&gt;"#"),IF(LEFT(AG179,1)="-",REPLACE(AG179,1,1,tech!$H$2),AG179),"")</f>
        <v/>
      </c>
      <c r="AL179" t="s">
        <v>495</v>
      </c>
      <c r="AM179" s="492" t="s">
        <v>868</v>
      </c>
      <c r="AN179" t="str">
        <f t="shared" si="234"/>
        <v>Certificate management is periodically reviewed and updated</v>
      </c>
      <c r="AO179" t="str">
        <f t="shared" si="197"/>
        <v>Assessment</v>
      </c>
      <c r="AP179" t="str">
        <f t="shared" si="212"/>
        <v>2.2.6.AY</v>
      </c>
      <c r="AQ179" t="str">
        <f>IF(AND(AM179&lt;&gt;"",LEFT(AM179,1)&lt;&gt;"#"),IF(LEFT(AM179,1)="-",REPLACE(AM179,1,1,tech!$H$2),AM179),"")</f>
        <v>* Documented process for reviewing the certificate management process and systems</v>
      </c>
      <c r="AR179" t="s">
        <v>495</v>
      </c>
      <c r="AS179" s="492"/>
      <c r="AT179" t="str">
        <f t="shared" si="235"/>
        <v>Infrastructure activities are periodically reviewed</v>
      </c>
      <c r="AU179" t="str">
        <f t="shared" si="198"/>
        <v>References</v>
      </c>
      <c r="AV179" t="str">
        <f t="shared" si="213"/>
        <v>2.3.5.RX</v>
      </c>
      <c r="AW179" t="str">
        <f>IF(AND(AS179&lt;&gt;"",LEFT(AS179,1)&lt;&gt;"#"),IF(LEFT(AS179,1)="-",REPLACE(AS179,1,1,tech!$H$2),AS179),"")</f>
        <v/>
      </c>
      <c r="AX179" t="s">
        <v>495</v>
      </c>
      <c r="AY179" s="492"/>
      <c r="AZ179" t="str">
        <f t="shared" si="236"/>
        <v>Change management and agility is periodically reviewed</v>
      </c>
      <c r="BA179" t="str">
        <f t="shared" si="199"/>
        <v>References</v>
      </c>
      <c r="BB179" t="str">
        <f t="shared" si="214"/>
        <v>2.4.5.RX</v>
      </c>
      <c r="BC179" t="str">
        <f>IF(AND(AY179&lt;&gt;"",LEFT(AY179,1)&lt;&gt;"#"),IF(LEFT(AY179,1)="-",REPLACE(AY179,1,1,tech!$H$2),AY179),"")</f>
        <v/>
      </c>
      <c r="BD179" t="s">
        <v>495</v>
      </c>
      <c r="BE179" s="492"/>
      <c r="BF179" t="str">
        <f t="shared" si="237"/>
        <v>Continual review and improvement</v>
      </c>
      <c r="BG179" t="str">
        <f t="shared" si="200"/>
        <v>References</v>
      </c>
      <c r="BH179" t="str">
        <f t="shared" si="215"/>
        <v>3.1.6.RX</v>
      </c>
      <c r="BI179" t="str">
        <f>IF(AND(BE179&lt;&gt;"",LEFT(BE179,1)&lt;&gt;"#"),IF(LEFT(BE179,1)="-",REPLACE(BE179,1,1,tech!$H$2),BE179),"")</f>
        <v/>
      </c>
      <c r="BJ179" t="s">
        <v>495</v>
      </c>
      <c r="BK179" s="492"/>
      <c r="BL179" t="str">
        <f t="shared" si="238"/>
        <v>Adoption and application of open standards</v>
      </c>
      <c r="BM179" t="str">
        <f t="shared" si="201"/>
        <v>References</v>
      </c>
      <c r="BN179" t="str">
        <f t="shared" si="216"/>
        <v>3.2.3.RX</v>
      </c>
      <c r="BO179" t="str">
        <f>IF(AND(BK179&lt;&gt;"",LEFT(BK179,1)&lt;&gt;"#"),IF(LEFT(BK179,1)="-",REPLACE(BK179,1,1,tech!$H$2),BK179),"")</f>
        <v/>
      </c>
      <c r="BP179" t="s">
        <v>495</v>
      </c>
      <c r="BQ179" s="492"/>
      <c r="BR179" t="str">
        <f t="shared" si="239"/>
        <v>Review of events and logs is periodically performed</v>
      </c>
      <c r="BS179" t="str">
        <f t="shared" si="202"/>
        <v>References</v>
      </c>
      <c r="BT179" t="str">
        <f t="shared" si="217"/>
        <v>3.3.6.RX</v>
      </c>
      <c r="BU179" t="str">
        <f>IF(AND(BQ179&lt;&gt;"",LEFT(BQ179,1)&lt;&gt;"#"),IF(LEFT(BQ179,1)="-",REPLACE(BQ179,1,1,tech!$H$2),BQ179),"")</f>
        <v/>
      </c>
      <c r="BV179" t="s">
        <v>495</v>
      </c>
      <c r="BW179" s="492"/>
      <c r="BX179" t="str">
        <f t="shared" si="240"/>
        <v>Incidents and exceptions handling</v>
      </c>
      <c r="BY179" t="str">
        <f t="shared" si="203"/>
        <v>References</v>
      </c>
      <c r="BZ179" t="str">
        <f t="shared" si="218"/>
        <v>3.4.3.RX</v>
      </c>
      <c r="CA179" t="str">
        <f>IF(AND(BW179&lt;&gt;"",LEFT(BW179,1)&lt;&gt;"#"),IF(LEFT(BW179,1)="-",REPLACE(BW179,1,1,tech!$H$2),BW179),"")</f>
        <v/>
      </c>
      <c r="CB179" t="s">
        <v>495</v>
      </c>
      <c r="CC179" s="492"/>
      <c r="CD179" t="str">
        <f t="shared" si="241"/>
        <v>Resources are periodically reviewed</v>
      </c>
      <c r="CE179" t="str">
        <f t="shared" si="204"/>
        <v>References</v>
      </c>
      <c r="CF179" t="str">
        <f t="shared" si="219"/>
        <v>4.1.4.RX</v>
      </c>
      <c r="CG179" t="str">
        <f>IF(AND(CC179&lt;&gt;"",LEFT(CC179,1)&lt;&gt;"#"),IF(LEFT(CC179,1)="-",REPLACE(CC179,1,1,tech!$H$2),CC179),"")</f>
        <v/>
      </c>
      <c r="CH179" t="s">
        <v>495</v>
      </c>
      <c r="CI179" s="492"/>
      <c r="CJ179" t="str">
        <f t="shared" si="242"/>
        <v>Periodically review knowledge</v>
      </c>
      <c r="CK179" t="str">
        <f t="shared" si="205"/>
        <v>References</v>
      </c>
      <c r="CL179" t="str">
        <f t="shared" si="220"/>
        <v>4.2.5.RX</v>
      </c>
      <c r="CM179" t="str">
        <f>IF(AND(CI179&lt;&gt;"",LEFT(CI179,1)&lt;&gt;"#"),IF(LEFT(CI179,1)="-",REPLACE(CI179,1,1,tech!$H$2),CI179),"")</f>
        <v/>
      </c>
      <c r="CN179" t="s">
        <v>495</v>
      </c>
      <c r="CO179" s="492"/>
      <c r="CP179" t="str">
        <f t="shared" si="243"/>
        <v>Timely communication of important information</v>
      </c>
      <c r="CQ179" t="str">
        <f t="shared" si="206"/>
        <v>References</v>
      </c>
      <c r="CR179" t="str">
        <f t="shared" si="221"/>
        <v>4.3.4.RX</v>
      </c>
      <c r="CS179" t="str">
        <f>IF(AND(CO179&lt;&gt;"",LEFT(CO179,1)&lt;&gt;"#"),IF(LEFT(CO179,1)="-",REPLACE(CO179,1,1,tech!$H$2),CO179),"")</f>
        <v/>
      </c>
      <c r="CT179" t="s">
        <v>495</v>
      </c>
    </row>
    <row r="180" spans="15:98" x14ac:dyDescent="0.25">
      <c r="O180" s="492"/>
      <c r="P180" t="str">
        <f t="shared" si="222"/>
        <v>Policies are periodically reviewed and updated</v>
      </c>
      <c r="Q180" t="str">
        <f t="shared" si="223"/>
        <v>References</v>
      </c>
      <c r="R180" t="str">
        <f t="shared" si="224"/>
        <v>1.2.5.RX</v>
      </c>
      <c r="S180" t="str">
        <f>IF(AND(O180&lt;&gt;"",LEFT(O180,1)&lt;&gt;"#"),IF(LEFT(O180,1)="-",REPLACE(O180,1,1,tech!$H$2),O180),"")</f>
        <v/>
      </c>
      <c r="T180" t="s">
        <v>495</v>
      </c>
      <c r="U180" s="492"/>
      <c r="V180" t="str">
        <f t="shared" si="225"/>
        <v>List of relevant laws, regulations, and standards, exist and is maintained</v>
      </c>
      <c r="W180" t="str">
        <f t="shared" si="226"/>
        <v>References</v>
      </c>
      <c r="X180" t="str">
        <f t="shared" si="227"/>
        <v>1.3.4.RX</v>
      </c>
      <c r="Y180" t="str">
        <f>IF(AND(U180&lt;&gt;"",LEFT(U180,1)&lt;&gt;"#"),IF(LEFT(U180,1)="-",REPLACE(U180,1,1,tech!$H$2),U180),"")</f>
        <v/>
      </c>
      <c r="Z180" t="s">
        <v>495</v>
      </c>
      <c r="AA180" s="492"/>
      <c r="AB180" t="str">
        <f t="shared" si="228"/>
        <v>Processes and procedures are reviewed and updated</v>
      </c>
      <c r="AC180" t="str">
        <f t="shared" si="229"/>
        <v>References</v>
      </c>
      <c r="AD180" t="str">
        <f t="shared" si="230"/>
        <v>1.4.5.RX</v>
      </c>
      <c r="AE180" t="str">
        <f>IF(AND(AA180&lt;&gt;"",LEFT(AA180,1)&lt;&gt;"#"),IF(LEFT(AA180,1)="-",REPLACE(AA180,1,1,tech!$H$2),AA180),"")</f>
        <v/>
      </c>
      <c r="AF180" t="s">
        <v>495</v>
      </c>
      <c r="AG180" s="492"/>
      <c r="AH180" t="str">
        <f t="shared" si="231"/>
        <v>Key management is periodically reviewed and updated</v>
      </c>
      <c r="AI180" t="str">
        <f t="shared" si="232"/>
        <v>References</v>
      </c>
      <c r="AJ180" t="str">
        <f t="shared" si="233"/>
        <v>2.1.6.RX</v>
      </c>
      <c r="AK180" t="str">
        <f>IF(AND(AG180&lt;&gt;"",LEFT(AG180,1)&lt;&gt;"#"),IF(LEFT(AG180,1)="-",REPLACE(AG180,1,1,tech!$H$2),AG180),"")</f>
        <v/>
      </c>
      <c r="AL180" t="s">
        <v>495</v>
      </c>
      <c r="AM180" s="492" t="s">
        <v>869</v>
      </c>
      <c r="AN180" t="str">
        <f t="shared" si="234"/>
        <v>Certificate management is periodically reviewed and updated</v>
      </c>
      <c r="AO180" t="str">
        <f t="shared" si="197"/>
        <v>Assessment</v>
      </c>
      <c r="AP180" t="str">
        <f t="shared" si="212"/>
        <v>2.2.6.AY</v>
      </c>
      <c r="AQ180" t="str">
        <f>IF(AND(AM180&lt;&gt;"",LEFT(AM180,1)&lt;&gt;"#"),IF(LEFT(AM180,1)="-",REPLACE(AM180,1,1,tech!$H$2),AM180),"")</f>
        <v>* Ability to implement updates to certificate management system</v>
      </c>
      <c r="AR180" t="s">
        <v>495</v>
      </c>
      <c r="AS180" s="492"/>
      <c r="AT180" t="str">
        <f t="shared" si="235"/>
        <v>Infrastructure activities are periodically reviewed</v>
      </c>
      <c r="AU180" t="str">
        <f t="shared" si="198"/>
        <v>References</v>
      </c>
      <c r="AV180" t="str">
        <f t="shared" si="213"/>
        <v>2.3.5.RX</v>
      </c>
      <c r="AW180" t="str">
        <f>IF(AND(AS180&lt;&gt;"",LEFT(AS180,1)&lt;&gt;"#"),IF(LEFT(AS180,1)="-",REPLACE(AS180,1,1,tech!$H$2),AS180),"")</f>
        <v/>
      </c>
      <c r="AX180" t="s">
        <v>495</v>
      </c>
      <c r="AY180" s="492"/>
      <c r="AZ180" t="str">
        <f t="shared" si="236"/>
        <v>Change management and agility is periodically reviewed</v>
      </c>
      <c r="BA180" t="str">
        <f t="shared" si="199"/>
        <v>References</v>
      </c>
      <c r="BB180" t="str">
        <f t="shared" si="214"/>
        <v>2.4.5.RX</v>
      </c>
      <c r="BC180" t="str">
        <f>IF(AND(AY180&lt;&gt;"",LEFT(AY180,1)&lt;&gt;"#"),IF(LEFT(AY180,1)="-",REPLACE(AY180,1,1,tech!$H$2),AY180),"")</f>
        <v/>
      </c>
      <c r="BD180" t="s">
        <v>495</v>
      </c>
      <c r="BE180" s="492"/>
      <c r="BF180" t="str">
        <f t="shared" si="237"/>
        <v>Continual review and improvement</v>
      </c>
      <c r="BG180" t="str">
        <f t="shared" si="200"/>
        <v>References</v>
      </c>
      <c r="BH180" t="str">
        <f t="shared" si="215"/>
        <v>3.1.6.RX</v>
      </c>
      <c r="BI180" t="str">
        <f>IF(AND(BE180&lt;&gt;"",LEFT(BE180,1)&lt;&gt;"#"),IF(LEFT(BE180,1)="-",REPLACE(BE180,1,1,tech!$H$2),BE180),"")</f>
        <v/>
      </c>
      <c r="BJ180" t="s">
        <v>495</v>
      </c>
      <c r="BK180" s="492"/>
      <c r="BL180" t="str">
        <f t="shared" si="238"/>
        <v>Adoption and application of open standards</v>
      </c>
      <c r="BM180" t="str">
        <f t="shared" si="201"/>
        <v>References</v>
      </c>
      <c r="BN180" t="str">
        <f t="shared" si="216"/>
        <v>3.2.3.RX</v>
      </c>
      <c r="BO180" t="str">
        <f>IF(AND(BK180&lt;&gt;"",LEFT(BK180,1)&lt;&gt;"#"),IF(LEFT(BK180,1)="-",REPLACE(BK180,1,1,tech!$H$2),BK180),"")</f>
        <v/>
      </c>
      <c r="BP180" t="s">
        <v>495</v>
      </c>
      <c r="BQ180" s="492"/>
      <c r="BR180" t="str">
        <f t="shared" si="239"/>
        <v>Review of events and logs is periodically performed</v>
      </c>
      <c r="BS180" t="str">
        <f t="shared" si="202"/>
        <v>References</v>
      </c>
      <c r="BT180" t="str">
        <f t="shared" si="217"/>
        <v>3.3.6.RX</v>
      </c>
      <c r="BU180" t="str">
        <f>IF(AND(BQ180&lt;&gt;"",LEFT(BQ180,1)&lt;&gt;"#"),IF(LEFT(BQ180,1)="-",REPLACE(BQ180,1,1,tech!$H$2),BQ180),"")</f>
        <v/>
      </c>
      <c r="BV180" t="s">
        <v>495</v>
      </c>
      <c r="BW180" s="492"/>
      <c r="BX180" t="str">
        <f t="shared" si="240"/>
        <v>Incidents and exceptions handling</v>
      </c>
      <c r="BY180" t="str">
        <f t="shared" si="203"/>
        <v>References</v>
      </c>
      <c r="BZ180" t="str">
        <f t="shared" si="218"/>
        <v>3.4.3.RX</v>
      </c>
      <c r="CA180" t="str">
        <f>IF(AND(BW180&lt;&gt;"",LEFT(BW180,1)&lt;&gt;"#"),IF(LEFT(BW180,1)="-",REPLACE(BW180,1,1,tech!$H$2),BW180),"")</f>
        <v/>
      </c>
      <c r="CB180" t="s">
        <v>495</v>
      </c>
      <c r="CC180" s="492"/>
      <c r="CD180" t="str">
        <f t="shared" si="241"/>
        <v>Resources are periodically reviewed</v>
      </c>
      <c r="CE180" t="str">
        <f t="shared" si="204"/>
        <v>References</v>
      </c>
      <c r="CF180" t="str">
        <f t="shared" si="219"/>
        <v>4.1.4.RX</v>
      </c>
      <c r="CG180" t="str">
        <f>IF(AND(CC180&lt;&gt;"",LEFT(CC180,1)&lt;&gt;"#"),IF(LEFT(CC180,1)="-",REPLACE(CC180,1,1,tech!$H$2),CC180),"")</f>
        <v/>
      </c>
      <c r="CH180" t="s">
        <v>495</v>
      </c>
      <c r="CI180" s="492"/>
      <c r="CJ180" t="str">
        <f t="shared" si="242"/>
        <v>Periodically review knowledge</v>
      </c>
      <c r="CK180" t="str">
        <f t="shared" si="205"/>
        <v>References</v>
      </c>
      <c r="CL180" t="str">
        <f t="shared" si="220"/>
        <v>4.2.5.RX</v>
      </c>
      <c r="CM180" t="str">
        <f>IF(AND(CI180&lt;&gt;"",LEFT(CI180,1)&lt;&gt;"#"),IF(LEFT(CI180,1)="-",REPLACE(CI180,1,1,tech!$H$2),CI180),"")</f>
        <v/>
      </c>
      <c r="CN180" t="s">
        <v>495</v>
      </c>
      <c r="CO180" s="492"/>
      <c r="CP180" t="str">
        <f t="shared" si="243"/>
        <v>Timely communication of important information</v>
      </c>
      <c r="CQ180" t="str">
        <f t="shared" si="206"/>
        <v>References</v>
      </c>
      <c r="CR180" t="str">
        <f t="shared" si="221"/>
        <v>4.3.4.RX</v>
      </c>
      <c r="CS180" t="str">
        <f>IF(AND(CO180&lt;&gt;"",LEFT(CO180,1)&lt;&gt;"#"),IF(LEFT(CO180,1)="-",REPLACE(CO180,1,1,tech!$H$2),CO180),"")</f>
        <v/>
      </c>
      <c r="CT180" t="s">
        <v>495</v>
      </c>
    </row>
    <row r="181" spans="15:98" x14ac:dyDescent="0.25">
      <c r="O181" s="492"/>
      <c r="P181" t="str">
        <f t="shared" si="222"/>
        <v>Policies are periodically reviewed and updated</v>
      </c>
      <c r="Q181" t="str">
        <f t="shared" si="223"/>
        <v>References</v>
      </c>
      <c r="R181" t="str">
        <f t="shared" si="224"/>
        <v>1.2.5.RX</v>
      </c>
      <c r="S181" t="str">
        <f>IF(AND(O181&lt;&gt;"",LEFT(O181,1)&lt;&gt;"#"),IF(LEFT(O181,1)="-",REPLACE(O181,1,1,tech!$H$2),O181),"")</f>
        <v/>
      </c>
      <c r="T181" t="s">
        <v>495</v>
      </c>
      <c r="U181" s="492"/>
      <c r="V181" t="str">
        <f t="shared" si="225"/>
        <v>List of relevant laws, regulations, and standards, exist and is maintained</v>
      </c>
      <c r="W181" t="str">
        <f t="shared" si="226"/>
        <v>References</v>
      </c>
      <c r="X181" t="str">
        <f t="shared" si="227"/>
        <v>1.3.4.RX</v>
      </c>
      <c r="Y181" t="str">
        <f>IF(AND(U181&lt;&gt;"",LEFT(U181,1)&lt;&gt;"#"),IF(LEFT(U181,1)="-",REPLACE(U181,1,1,tech!$H$2),U181),"")</f>
        <v/>
      </c>
      <c r="Z181" t="s">
        <v>495</v>
      </c>
      <c r="AA181" s="492"/>
      <c r="AB181" t="str">
        <f t="shared" si="228"/>
        <v>Processes and procedures are reviewed and updated</v>
      </c>
      <c r="AC181" t="str">
        <f t="shared" si="229"/>
        <v>References</v>
      </c>
      <c r="AD181" t="str">
        <f t="shared" si="230"/>
        <v>1.4.5.RX</v>
      </c>
      <c r="AE181" t="str">
        <f>IF(AND(AA181&lt;&gt;"",LEFT(AA181,1)&lt;&gt;"#"),IF(LEFT(AA181,1)="-",REPLACE(AA181,1,1,tech!$H$2),AA181),"")</f>
        <v/>
      </c>
      <c r="AF181" t="s">
        <v>495</v>
      </c>
      <c r="AG181" s="492"/>
      <c r="AH181" t="str">
        <f t="shared" si="231"/>
        <v>Key management is periodically reviewed and updated</v>
      </c>
      <c r="AI181" t="str">
        <f t="shared" si="232"/>
        <v>References</v>
      </c>
      <c r="AJ181" t="str">
        <f t="shared" si="233"/>
        <v>2.1.6.RX</v>
      </c>
      <c r="AK181" t="str">
        <f>IF(AND(AG181&lt;&gt;"",LEFT(AG181,1)&lt;&gt;"#"),IF(LEFT(AG181,1)="-",REPLACE(AG181,1,1,tech!$H$2),AG181),"")</f>
        <v/>
      </c>
      <c r="AL181" t="s">
        <v>495</v>
      </c>
      <c r="AM181" s="492" t="s">
        <v>870</v>
      </c>
      <c r="AN181" t="str">
        <f t="shared" si="234"/>
        <v>Certificate management is periodically reviewed and updated</v>
      </c>
      <c r="AO181" t="str">
        <f t="shared" si="197"/>
        <v>Assessment</v>
      </c>
      <c r="AP181" t="str">
        <f t="shared" si="212"/>
        <v>2.2.6.AY</v>
      </c>
      <c r="AQ181" t="str">
        <f>IF(AND(AM181&lt;&gt;"",LEFT(AM181,1)&lt;&gt;"#"),IF(LEFT(AM181,1)="-",REPLACE(AM181,1,1,tech!$H$2),AM181),"")</f>
        <v>* Document management system and validation of review</v>
      </c>
      <c r="AR181" t="s">
        <v>495</v>
      </c>
      <c r="AS181" s="492"/>
      <c r="AT181" t="str">
        <f t="shared" si="235"/>
        <v>Infrastructure activities are periodically reviewed</v>
      </c>
      <c r="AU181" t="str">
        <f t="shared" si="198"/>
        <v>References</v>
      </c>
      <c r="AV181" t="str">
        <f t="shared" si="213"/>
        <v>2.3.5.RX</v>
      </c>
      <c r="AW181" t="str">
        <f>IF(AND(AS181&lt;&gt;"",LEFT(AS181,1)&lt;&gt;"#"),IF(LEFT(AS181,1)="-",REPLACE(AS181,1,1,tech!$H$2),AS181),"")</f>
        <v/>
      </c>
      <c r="AX181" t="s">
        <v>495</v>
      </c>
      <c r="AY181" s="492"/>
      <c r="AZ181" t="str">
        <f t="shared" si="236"/>
        <v>Change management and agility is periodically reviewed</v>
      </c>
      <c r="BA181" t="str">
        <f t="shared" si="199"/>
        <v>References</v>
      </c>
      <c r="BB181" t="str">
        <f t="shared" si="214"/>
        <v>2.4.5.RX</v>
      </c>
      <c r="BC181" t="str">
        <f>IF(AND(AY181&lt;&gt;"",LEFT(AY181,1)&lt;&gt;"#"),IF(LEFT(AY181,1)="-",REPLACE(AY181,1,1,tech!$H$2),AY181),"")</f>
        <v/>
      </c>
      <c r="BD181" t="s">
        <v>495</v>
      </c>
      <c r="BE181" s="492"/>
      <c r="BF181" t="str">
        <f t="shared" si="237"/>
        <v>Continual review and improvement</v>
      </c>
      <c r="BG181" t="str">
        <f t="shared" si="200"/>
        <v>References</v>
      </c>
      <c r="BH181" t="str">
        <f t="shared" si="215"/>
        <v>3.1.6.RX</v>
      </c>
      <c r="BI181" t="str">
        <f>IF(AND(BE181&lt;&gt;"",LEFT(BE181,1)&lt;&gt;"#"),IF(LEFT(BE181,1)="-",REPLACE(BE181,1,1,tech!$H$2),BE181),"")</f>
        <v/>
      </c>
      <c r="BJ181" t="s">
        <v>495</v>
      </c>
      <c r="BK181" s="492"/>
      <c r="BL181" t="str">
        <f t="shared" si="238"/>
        <v>Adoption and application of open standards</v>
      </c>
      <c r="BM181" t="str">
        <f t="shared" si="201"/>
        <v>References</v>
      </c>
      <c r="BN181" t="str">
        <f t="shared" si="216"/>
        <v>3.2.3.RX</v>
      </c>
      <c r="BO181" t="str">
        <f>IF(AND(BK181&lt;&gt;"",LEFT(BK181,1)&lt;&gt;"#"),IF(LEFT(BK181,1)="-",REPLACE(BK181,1,1,tech!$H$2),BK181),"")</f>
        <v/>
      </c>
      <c r="BP181" t="s">
        <v>495</v>
      </c>
      <c r="BQ181" s="492"/>
      <c r="BR181" t="str">
        <f t="shared" si="239"/>
        <v>Review of events and logs is periodically performed</v>
      </c>
      <c r="BS181" t="str">
        <f t="shared" si="202"/>
        <v>References</v>
      </c>
      <c r="BT181" t="str">
        <f t="shared" si="217"/>
        <v>3.3.6.RX</v>
      </c>
      <c r="BU181" t="str">
        <f>IF(AND(BQ181&lt;&gt;"",LEFT(BQ181,1)&lt;&gt;"#"),IF(LEFT(BQ181,1)="-",REPLACE(BQ181,1,1,tech!$H$2),BQ181),"")</f>
        <v/>
      </c>
      <c r="BV181" t="s">
        <v>495</v>
      </c>
      <c r="BW181" s="492"/>
      <c r="BX181" t="str">
        <f t="shared" si="240"/>
        <v>Incidents and exceptions handling</v>
      </c>
      <c r="BY181" t="str">
        <f t="shared" si="203"/>
        <v>References</v>
      </c>
      <c r="BZ181" t="str">
        <f t="shared" si="218"/>
        <v>3.4.3.RX</v>
      </c>
      <c r="CA181" t="str">
        <f>IF(AND(BW181&lt;&gt;"",LEFT(BW181,1)&lt;&gt;"#"),IF(LEFT(BW181,1)="-",REPLACE(BW181,1,1,tech!$H$2),BW181),"")</f>
        <v/>
      </c>
      <c r="CB181" t="s">
        <v>495</v>
      </c>
      <c r="CC181" s="492"/>
      <c r="CD181" t="str">
        <f t="shared" si="241"/>
        <v>Resources are periodically reviewed</v>
      </c>
      <c r="CE181" t="str">
        <f t="shared" si="204"/>
        <v>References</v>
      </c>
      <c r="CF181" t="str">
        <f t="shared" si="219"/>
        <v>4.1.4.RX</v>
      </c>
      <c r="CG181" t="str">
        <f>IF(AND(CC181&lt;&gt;"",LEFT(CC181,1)&lt;&gt;"#"),IF(LEFT(CC181,1)="-",REPLACE(CC181,1,1,tech!$H$2),CC181),"")</f>
        <v/>
      </c>
      <c r="CH181" t="s">
        <v>495</v>
      </c>
      <c r="CI181" s="492"/>
      <c r="CJ181" t="str">
        <f t="shared" si="242"/>
        <v>Periodically review knowledge</v>
      </c>
      <c r="CK181" t="str">
        <f t="shared" si="205"/>
        <v>References</v>
      </c>
      <c r="CL181" t="str">
        <f t="shared" si="220"/>
        <v>4.2.5.RX</v>
      </c>
      <c r="CM181" t="str">
        <f>IF(AND(CI181&lt;&gt;"",LEFT(CI181,1)&lt;&gt;"#"),IF(LEFT(CI181,1)="-",REPLACE(CI181,1,1,tech!$H$2),CI181),"")</f>
        <v/>
      </c>
      <c r="CN181" t="s">
        <v>495</v>
      </c>
      <c r="CO181" s="492"/>
      <c r="CP181" t="str">
        <f t="shared" si="243"/>
        <v>Timely communication of important information</v>
      </c>
      <c r="CQ181" t="str">
        <f t="shared" si="206"/>
        <v>References</v>
      </c>
      <c r="CR181" t="str">
        <f t="shared" si="221"/>
        <v>4.3.4.RX</v>
      </c>
      <c r="CS181" t="str">
        <f>IF(AND(CO181&lt;&gt;"",LEFT(CO181,1)&lt;&gt;"#"),IF(LEFT(CO181,1)="-",REPLACE(CO181,1,1,tech!$H$2),CO181),"")</f>
        <v/>
      </c>
      <c r="CT181" t="s">
        <v>495</v>
      </c>
    </row>
    <row r="182" spans="15:98" x14ac:dyDescent="0.25">
      <c r="O182" s="492"/>
      <c r="P182" t="str">
        <f t="shared" si="222"/>
        <v>Policies are periodically reviewed and updated</v>
      </c>
      <c r="Q182" t="str">
        <f t="shared" si="223"/>
        <v>References</v>
      </c>
      <c r="R182" t="str">
        <f t="shared" si="224"/>
        <v>1.2.5.RX</v>
      </c>
      <c r="S182" t="str">
        <f>IF(AND(O182&lt;&gt;"",LEFT(O182,1)&lt;&gt;"#"),IF(LEFT(O182,1)="-",REPLACE(O182,1,1,tech!$H$2),O182),"")</f>
        <v/>
      </c>
      <c r="T182" t="s">
        <v>495</v>
      </c>
      <c r="U182" s="492"/>
      <c r="V182" t="str">
        <f t="shared" si="225"/>
        <v>List of relevant laws, regulations, and standards, exist and is maintained</v>
      </c>
      <c r="W182" t="str">
        <f t="shared" si="226"/>
        <v>References</v>
      </c>
      <c r="X182" t="str">
        <f t="shared" si="227"/>
        <v>1.3.4.RX</v>
      </c>
      <c r="Y182" t="str">
        <f>IF(AND(U182&lt;&gt;"",LEFT(U182,1)&lt;&gt;"#"),IF(LEFT(U182,1)="-",REPLACE(U182,1,1,tech!$H$2),U182),"")</f>
        <v/>
      </c>
      <c r="Z182" t="s">
        <v>495</v>
      </c>
      <c r="AA182" s="492"/>
      <c r="AB182" t="str">
        <f t="shared" si="228"/>
        <v>Processes and procedures are reviewed and updated</v>
      </c>
      <c r="AC182" t="str">
        <f t="shared" si="229"/>
        <v>References</v>
      </c>
      <c r="AD182" t="str">
        <f t="shared" si="230"/>
        <v>1.4.5.RX</v>
      </c>
      <c r="AE182" t="str">
        <f>IF(AND(AA182&lt;&gt;"",LEFT(AA182,1)&lt;&gt;"#"),IF(LEFT(AA182,1)="-",REPLACE(AA182,1,1,tech!$H$2),AA182),"")</f>
        <v/>
      </c>
      <c r="AF182" t="s">
        <v>495</v>
      </c>
      <c r="AG182" s="492"/>
      <c r="AH182" t="str">
        <f t="shared" si="231"/>
        <v>Key management is periodically reviewed and updated</v>
      </c>
      <c r="AI182" t="str">
        <f t="shared" si="232"/>
        <v>References</v>
      </c>
      <c r="AJ182" t="str">
        <f t="shared" si="233"/>
        <v>2.1.6.RX</v>
      </c>
      <c r="AK182" t="str">
        <f>IF(AND(AG182&lt;&gt;"",LEFT(AG182,1)&lt;&gt;"#"),IF(LEFT(AG182,1)="-",REPLACE(AG182,1,1,tech!$H$2),AG182),"")</f>
        <v/>
      </c>
      <c r="AL182" t="s">
        <v>495</v>
      </c>
      <c r="AM182" s="492"/>
      <c r="AN182" t="str">
        <f t="shared" si="234"/>
        <v>Certificate management is periodically reviewed and updated</v>
      </c>
      <c r="AO182" t="str">
        <f t="shared" si="197"/>
        <v>Assessment</v>
      </c>
      <c r="AP182" t="str">
        <f t="shared" si="212"/>
        <v>2.2.6.AX</v>
      </c>
      <c r="AQ182" t="str">
        <f>IF(AND(AM182&lt;&gt;"",LEFT(AM182,1)&lt;&gt;"#"),IF(LEFT(AM182,1)="-",REPLACE(AM182,1,1,tech!$H$2),AM182),"")</f>
        <v/>
      </c>
      <c r="AR182" t="s">
        <v>495</v>
      </c>
      <c r="AS182" s="492"/>
      <c r="AT182" t="str">
        <f t="shared" si="235"/>
        <v>Infrastructure activities are periodically reviewed</v>
      </c>
      <c r="AU182" t="str">
        <f t="shared" si="198"/>
        <v>References</v>
      </c>
      <c r="AV182" t="str">
        <f t="shared" si="213"/>
        <v>2.3.5.RX</v>
      </c>
      <c r="AW182" t="str">
        <f>IF(AND(AS182&lt;&gt;"",LEFT(AS182,1)&lt;&gt;"#"),IF(LEFT(AS182,1)="-",REPLACE(AS182,1,1,tech!$H$2),AS182),"")</f>
        <v/>
      </c>
      <c r="AX182" t="s">
        <v>495</v>
      </c>
      <c r="AY182" s="492"/>
      <c r="AZ182" t="str">
        <f t="shared" si="236"/>
        <v>Change management and agility is periodically reviewed</v>
      </c>
      <c r="BA182" t="str">
        <f t="shared" si="199"/>
        <v>References</v>
      </c>
      <c r="BB182" t="str">
        <f t="shared" si="214"/>
        <v>2.4.5.RX</v>
      </c>
      <c r="BC182" t="str">
        <f>IF(AND(AY182&lt;&gt;"",LEFT(AY182,1)&lt;&gt;"#"),IF(LEFT(AY182,1)="-",REPLACE(AY182,1,1,tech!$H$2),AY182),"")</f>
        <v/>
      </c>
      <c r="BD182" t="s">
        <v>495</v>
      </c>
      <c r="BE182" s="492"/>
      <c r="BF182" t="str">
        <f t="shared" si="237"/>
        <v>Continual review and improvement</v>
      </c>
      <c r="BG182" t="str">
        <f t="shared" si="200"/>
        <v>References</v>
      </c>
      <c r="BH182" t="str">
        <f t="shared" si="215"/>
        <v>3.1.6.RX</v>
      </c>
      <c r="BI182" t="str">
        <f>IF(AND(BE182&lt;&gt;"",LEFT(BE182,1)&lt;&gt;"#"),IF(LEFT(BE182,1)="-",REPLACE(BE182,1,1,tech!$H$2),BE182),"")</f>
        <v/>
      </c>
      <c r="BJ182" t="s">
        <v>495</v>
      </c>
      <c r="BK182" s="492"/>
      <c r="BL182" t="str">
        <f t="shared" si="238"/>
        <v>Adoption and application of open standards</v>
      </c>
      <c r="BM182" t="str">
        <f t="shared" si="201"/>
        <v>References</v>
      </c>
      <c r="BN182" t="str">
        <f t="shared" si="216"/>
        <v>3.2.3.RX</v>
      </c>
      <c r="BO182" t="str">
        <f>IF(AND(BK182&lt;&gt;"",LEFT(BK182,1)&lt;&gt;"#"),IF(LEFT(BK182,1)="-",REPLACE(BK182,1,1,tech!$H$2),BK182),"")</f>
        <v/>
      </c>
      <c r="BP182" t="s">
        <v>495</v>
      </c>
      <c r="BQ182" s="492"/>
      <c r="BR182" t="str">
        <f t="shared" si="239"/>
        <v>Review of events and logs is periodically performed</v>
      </c>
      <c r="BS182" t="str">
        <f t="shared" si="202"/>
        <v>References</v>
      </c>
      <c r="BT182" t="str">
        <f t="shared" si="217"/>
        <v>3.3.6.RX</v>
      </c>
      <c r="BU182" t="str">
        <f>IF(AND(BQ182&lt;&gt;"",LEFT(BQ182,1)&lt;&gt;"#"),IF(LEFT(BQ182,1)="-",REPLACE(BQ182,1,1,tech!$H$2),BQ182),"")</f>
        <v/>
      </c>
      <c r="BV182" t="s">
        <v>495</v>
      </c>
      <c r="BW182" s="492"/>
      <c r="BX182" t="str">
        <f t="shared" si="240"/>
        <v>Incidents and exceptions handling</v>
      </c>
      <c r="BY182" t="str">
        <f t="shared" si="203"/>
        <v>References</v>
      </c>
      <c r="BZ182" t="str">
        <f t="shared" si="218"/>
        <v>3.4.3.RX</v>
      </c>
      <c r="CA182" t="str">
        <f>IF(AND(BW182&lt;&gt;"",LEFT(BW182,1)&lt;&gt;"#"),IF(LEFT(BW182,1)="-",REPLACE(BW182,1,1,tech!$H$2),BW182),"")</f>
        <v/>
      </c>
      <c r="CB182" t="s">
        <v>495</v>
      </c>
      <c r="CC182" s="492"/>
      <c r="CD182" t="str">
        <f t="shared" si="241"/>
        <v>Resources are periodically reviewed</v>
      </c>
      <c r="CE182" t="str">
        <f t="shared" si="204"/>
        <v>References</v>
      </c>
      <c r="CF182" t="str">
        <f t="shared" si="219"/>
        <v>4.1.4.RX</v>
      </c>
      <c r="CG182" t="str">
        <f>IF(AND(CC182&lt;&gt;"",LEFT(CC182,1)&lt;&gt;"#"),IF(LEFT(CC182,1)="-",REPLACE(CC182,1,1,tech!$H$2),CC182),"")</f>
        <v/>
      </c>
      <c r="CH182" t="s">
        <v>495</v>
      </c>
      <c r="CI182" s="492"/>
      <c r="CJ182" t="str">
        <f t="shared" si="242"/>
        <v>Periodically review knowledge</v>
      </c>
      <c r="CK182" t="str">
        <f t="shared" si="205"/>
        <v>References</v>
      </c>
      <c r="CL182" t="str">
        <f t="shared" si="220"/>
        <v>4.2.5.RX</v>
      </c>
      <c r="CM182" t="str">
        <f>IF(AND(CI182&lt;&gt;"",LEFT(CI182,1)&lt;&gt;"#"),IF(LEFT(CI182,1)="-",REPLACE(CI182,1,1,tech!$H$2),CI182),"")</f>
        <v/>
      </c>
      <c r="CN182" t="s">
        <v>495</v>
      </c>
      <c r="CO182" s="492"/>
      <c r="CP182" t="str">
        <f t="shared" si="243"/>
        <v>Timely communication of important information</v>
      </c>
      <c r="CQ182" t="str">
        <f t="shared" si="206"/>
        <v>References</v>
      </c>
      <c r="CR182" t="str">
        <f t="shared" si="221"/>
        <v>4.3.4.RX</v>
      </c>
      <c r="CS182" t="str">
        <f>IF(AND(CO182&lt;&gt;"",LEFT(CO182,1)&lt;&gt;"#"),IF(LEFT(CO182,1)="-",REPLACE(CO182,1,1,tech!$H$2),CO182),"")</f>
        <v/>
      </c>
      <c r="CT182" t="s">
        <v>495</v>
      </c>
    </row>
    <row r="183" spans="15:98" x14ac:dyDescent="0.25">
      <c r="O183" s="492"/>
      <c r="P183" t="str">
        <f t="shared" si="222"/>
        <v>Policies are periodically reviewed and updated</v>
      </c>
      <c r="Q183" t="str">
        <f t="shared" si="223"/>
        <v>References</v>
      </c>
      <c r="R183" t="str">
        <f t="shared" si="224"/>
        <v>1.2.5.RX</v>
      </c>
      <c r="S183" t="str">
        <f>IF(AND(O183&lt;&gt;"",LEFT(O183,1)&lt;&gt;"#"),IF(LEFT(O183,1)="-",REPLACE(O183,1,1,tech!$H$2),O183),"")</f>
        <v/>
      </c>
      <c r="T183" t="s">
        <v>495</v>
      </c>
      <c r="U183" s="492"/>
      <c r="V183" t="str">
        <f t="shared" si="225"/>
        <v>List of relevant laws, regulations, and standards, exist and is maintained</v>
      </c>
      <c r="W183" t="str">
        <f t="shared" si="226"/>
        <v>References</v>
      </c>
      <c r="X183" t="str">
        <f t="shared" si="227"/>
        <v>1.3.4.RX</v>
      </c>
      <c r="Y183" t="str">
        <f>IF(AND(U183&lt;&gt;"",LEFT(U183,1)&lt;&gt;"#"),IF(LEFT(U183,1)="-",REPLACE(U183,1,1,tech!$H$2),U183),"")</f>
        <v/>
      </c>
      <c r="Z183" t="s">
        <v>495</v>
      </c>
      <c r="AA183" s="492"/>
      <c r="AB183" t="str">
        <f t="shared" si="228"/>
        <v>Processes and procedures are reviewed and updated</v>
      </c>
      <c r="AC183" t="str">
        <f t="shared" si="229"/>
        <v>References</v>
      </c>
      <c r="AD183" t="str">
        <f t="shared" si="230"/>
        <v>1.4.5.RX</v>
      </c>
      <c r="AE183" t="str">
        <f>IF(AND(AA183&lt;&gt;"",LEFT(AA183,1)&lt;&gt;"#"),IF(LEFT(AA183,1)="-",REPLACE(AA183,1,1,tech!$H$2),AA183),"")</f>
        <v/>
      </c>
      <c r="AF183" t="s">
        <v>495</v>
      </c>
      <c r="AG183" s="492"/>
      <c r="AH183" t="str">
        <f t="shared" si="231"/>
        <v>Key management is periodically reviewed and updated</v>
      </c>
      <c r="AI183" t="str">
        <f t="shared" si="232"/>
        <v>References</v>
      </c>
      <c r="AJ183" t="str">
        <f t="shared" si="233"/>
        <v>2.1.6.RX</v>
      </c>
      <c r="AK183" t="str">
        <f>IF(AND(AG183&lt;&gt;"",LEFT(AG183,1)&lt;&gt;"#"),IF(LEFT(AG183,1)="-",REPLACE(AG183,1,1,tech!$H$2),AG183),"")</f>
        <v/>
      </c>
      <c r="AL183" t="s">
        <v>495</v>
      </c>
      <c r="AM183" s="492" t="s">
        <v>503</v>
      </c>
      <c r="AN183" t="str">
        <f t="shared" si="234"/>
        <v>Certificate management is periodically reviewed and updated</v>
      </c>
      <c r="AO183" t="str">
        <f t="shared" si="197"/>
        <v>References</v>
      </c>
      <c r="AP183" t="str">
        <f t="shared" si="212"/>
        <v>2.2.6.RX</v>
      </c>
      <c r="AQ183" t="str">
        <f>IF(AND(AM183&lt;&gt;"",LEFT(AM183,1)&lt;&gt;"#"),IF(LEFT(AM183,1)="-",REPLACE(AM183,1,1,tech!$H$2),AM183),"")</f>
        <v/>
      </c>
      <c r="AR183" t="s">
        <v>495</v>
      </c>
      <c r="AS183" s="492"/>
      <c r="AT183" t="str">
        <f t="shared" si="235"/>
        <v>Infrastructure activities are periodically reviewed</v>
      </c>
      <c r="AU183" t="str">
        <f t="shared" si="198"/>
        <v>References</v>
      </c>
      <c r="AV183" t="str">
        <f t="shared" si="213"/>
        <v>2.3.5.RX</v>
      </c>
      <c r="AW183" t="str">
        <f>IF(AND(AS183&lt;&gt;"",LEFT(AS183,1)&lt;&gt;"#"),IF(LEFT(AS183,1)="-",REPLACE(AS183,1,1,tech!$H$2),AS183),"")</f>
        <v/>
      </c>
      <c r="AX183" t="s">
        <v>495</v>
      </c>
      <c r="AY183" s="492"/>
      <c r="AZ183" t="str">
        <f t="shared" si="236"/>
        <v>Change management and agility is periodically reviewed</v>
      </c>
      <c r="BA183" t="str">
        <f t="shared" si="199"/>
        <v>References</v>
      </c>
      <c r="BB183" t="str">
        <f t="shared" si="214"/>
        <v>2.4.5.RX</v>
      </c>
      <c r="BC183" t="str">
        <f>IF(AND(AY183&lt;&gt;"",LEFT(AY183,1)&lt;&gt;"#"),IF(LEFT(AY183,1)="-",REPLACE(AY183,1,1,tech!$H$2),AY183),"")</f>
        <v/>
      </c>
      <c r="BD183" t="s">
        <v>495</v>
      </c>
      <c r="BE183" s="492"/>
      <c r="BF183" t="str">
        <f t="shared" si="237"/>
        <v>Continual review and improvement</v>
      </c>
      <c r="BG183" t="str">
        <f t="shared" si="200"/>
        <v>References</v>
      </c>
      <c r="BH183" t="str">
        <f t="shared" si="215"/>
        <v>3.1.6.RX</v>
      </c>
      <c r="BI183" t="str">
        <f>IF(AND(BE183&lt;&gt;"",LEFT(BE183,1)&lt;&gt;"#"),IF(LEFT(BE183,1)="-",REPLACE(BE183,1,1,tech!$H$2),BE183),"")</f>
        <v/>
      </c>
      <c r="BJ183" t="s">
        <v>495</v>
      </c>
      <c r="BK183" s="492"/>
      <c r="BL183" t="str">
        <f t="shared" si="238"/>
        <v>Adoption and application of open standards</v>
      </c>
      <c r="BM183" t="str">
        <f t="shared" si="201"/>
        <v>References</v>
      </c>
      <c r="BN183" t="str">
        <f t="shared" si="216"/>
        <v>3.2.3.RX</v>
      </c>
      <c r="BO183" t="str">
        <f>IF(AND(BK183&lt;&gt;"",LEFT(BK183,1)&lt;&gt;"#"),IF(LEFT(BK183,1)="-",REPLACE(BK183,1,1,tech!$H$2),BK183),"")</f>
        <v/>
      </c>
      <c r="BP183" t="s">
        <v>495</v>
      </c>
      <c r="BQ183" s="492"/>
      <c r="BR183" t="str">
        <f t="shared" si="239"/>
        <v>Review of events and logs is periodically performed</v>
      </c>
      <c r="BS183" t="str">
        <f t="shared" si="202"/>
        <v>References</v>
      </c>
      <c r="BT183" t="str">
        <f t="shared" si="217"/>
        <v>3.3.6.RX</v>
      </c>
      <c r="BU183" t="str">
        <f>IF(AND(BQ183&lt;&gt;"",LEFT(BQ183,1)&lt;&gt;"#"),IF(LEFT(BQ183,1)="-",REPLACE(BQ183,1,1,tech!$H$2),BQ183),"")</f>
        <v/>
      </c>
      <c r="BV183" t="s">
        <v>495</v>
      </c>
      <c r="BW183" s="492"/>
      <c r="BX183" t="str">
        <f t="shared" si="240"/>
        <v>Incidents and exceptions handling</v>
      </c>
      <c r="BY183" t="str">
        <f t="shared" si="203"/>
        <v>References</v>
      </c>
      <c r="BZ183" t="str">
        <f t="shared" si="218"/>
        <v>3.4.3.RX</v>
      </c>
      <c r="CA183" t="str">
        <f>IF(AND(BW183&lt;&gt;"",LEFT(BW183,1)&lt;&gt;"#"),IF(LEFT(BW183,1)="-",REPLACE(BW183,1,1,tech!$H$2),BW183),"")</f>
        <v/>
      </c>
      <c r="CB183" t="s">
        <v>495</v>
      </c>
      <c r="CC183" s="492"/>
      <c r="CD183" t="str">
        <f t="shared" si="241"/>
        <v>Resources are periodically reviewed</v>
      </c>
      <c r="CE183" t="str">
        <f t="shared" si="204"/>
        <v>References</v>
      </c>
      <c r="CF183" t="str">
        <f t="shared" si="219"/>
        <v>4.1.4.RX</v>
      </c>
      <c r="CG183" t="str">
        <f>IF(AND(CC183&lt;&gt;"",LEFT(CC183,1)&lt;&gt;"#"),IF(LEFT(CC183,1)="-",REPLACE(CC183,1,1,tech!$H$2),CC183),"")</f>
        <v/>
      </c>
      <c r="CH183" t="s">
        <v>495</v>
      </c>
      <c r="CI183" s="492"/>
      <c r="CJ183" t="str">
        <f t="shared" si="242"/>
        <v>Periodically review knowledge</v>
      </c>
      <c r="CK183" t="str">
        <f t="shared" si="205"/>
        <v>References</v>
      </c>
      <c r="CL183" t="str">
        <f t="shared" si="220"/>
        <v>4.2.5.RX</v>
      </c>
      <c r="CM183" t="str">
        <f>IF(AND(CI183&lt;&gt;"",LEFT(CI183,1)&lt;&gt;"#"),IF(LEFT(CI183,1)="-",REPLACE(CI183,1,1,tech!$H$2),CI183),"")</f>
        <v/>
      </c>
      <c r="CN183" t="s">
        <v>495</v>
      </c>
      <c r="CO183" s="492"/>
      <c r="CP183" t="str">
        <f t="shared" si="243"/>
        <v>Timely communication of important information</v>
      </c>
      <c r="CQ183" t="str">
        <f t="shared" si="206"/>
        <v>References</v>
      </c>
      <c r="CR183" t="str">
        <f t="shared" si="221"/>
        <v>4.3.4.RX</v>
      </c>
      <c r="CS183" t="str">
        <f>IF(AND(CO183&lt;&gt;"",LEFT(CO183,1)&lt;&gt;"#"),IF(LEFT(CO183,1)="-",REPLACE(CO183,1,1,tech!$H$2),CO183),"")</f>
        <v/>
      </c>
      <c r="CT183" t="s">
        <v>495</v>
      </c>
    </row>
    <row r="184" spans="15:98" x14ac:dyDescent="0.25">
      <c r="O184" s="492"/>
      <c r="P184" t="str">
        <f t="shared" si="222"/>
        <v>Policies are periodically reviewed and updated</v>
      </c>
      <c r="Q184" t="str">
        <f t="shared" si="223"/>
        <v>References</v>
      </c>
      <c r="R184" t="str">
        <f t="shared" si="224"/>
        <v>1.2.5.RX</v>
      </c>
      <c r="S184" t="str">
        <f>IF(AND(O184&lt;&gt;"",LEFT(O184,1)&lt;&gt;"#"),IF(LEFT(O184,1)="-",REPLACE(O184,1,1,tech!$H$2),O184),"")</f>
        <v/>
      </c>
      <c r="T184" t="s">
        <v>495</v>
      </c>
      <c r="U184" s="492"/>
      <c r="V184" t="str">
        <f t="shared" si="225"/>
        <v>List of relevant laws, regulations, and standards, exist and is maintained</v>
      </c>
      <c r="W184" t="str">
        <f t="shared" si="226"/>
        <v>References</v>
      </c>
      <c r="X184" t="str">
        <f t="shared" si="227"/>
        <v>1.3.4.RX</v>
      </c>
      <c r="Y184" t="str">
        <f>IF(AND(U184&lt;&gt;"",LEFT(U184,1)&lt;&gt;"#"),IF(LEFT(U184,1)="-",REPLACE(U184,1,1,tech!$H$2),U184),"")</f>
        <v/>
      </c>
      <c r="Z184" t="s">
        <v>495</v>
      </c>
      <c r="AA184" s="492"/>
      <c r="AB184" t="str">
        <f t="shared" si="228"/>
        <v>Processes and procedures are reviewed and updated</v>
      </c>
      <c r="AC184" t="str">
        <f t="shared" si="229"/>
        <v>References</v>
      </c>
      <c r="AD184" t="str">
        <f t="shared" si="230"/>
        <v>1.4.5.RX</v>
      </c>
      <c r="AE184" t="str">
        <f>IF(AND(AA184&lt;&gt;"",LEFT(AA184,1)&lt;&gt;"#"),IF(LEFT(AA184,1)="-",REPLACE(AA184,1,1,tech!$H$2),AA184),"")</f>
        <v/>
      </c>
      <c r="AF184" t="s">
        <v>495</v>
      </c>
      <c r="AG184" s="492"/>
      <c r="AH184" t="str">
        <f t="shared" si="231"/>
        <v>Key management is periodically reviewed and updated</v>
      </c>
      <c r="AI184" t="str">
        <f t="shared" si="232"/>
        <v>References</v>
      </c>
      <c r="AJ184" t="str">
        <f t="shared" si="233"/>
        <v>2.1.6.RX</v>
      </c>
      <c r="AK184" t="str">
        <f>IF(AND(AG184&lt;&gt;"",LEFT(AG184,1)&lt;&gt;"#"),IF(LEFT(AG184,1)="-",REPLACE(AG184,1,1,tech!$H$2),AG184),"")</f>
        <v/>
      </c>
      <c r="AL184" t="s">
        <v>495</v>
      </c>
      <c r="AM184" s="492"/>
      <c r="AN184" t="str">
        <f t="shared" si="234"/>
        <v>Certificate management is periodically reviewed and updated</v>
      </c>
      <c r="AO184" t="str">
        <f t="shared" si="197"/>
        <v>References</v>
      </c>
      <c r="AP184" t="str">
        <f t="shared" si="212"/>
        <v>2.2.6.RX</v>
      </c>
      <c r="AQ184" t="str">
        <f>IF(AND(AM184&lt;&gt;"",LEFT(AM184,1)&lt;&gt;"#"),IF(LEFT(AM184,1)="-",REPLACE(AM184,1,1,tech!$H$2),AM184),"")</f>
        <v/>
      </c>
      <c r="AR184" t="s">
        <v>495</v>
      </c>
      <c r="AS184" s="492"/>
      <c r="AT184" t="str">
        <f t="shared" si="235"/>
        <v>Infrastructure activities are periodically reviewed</v>
      </c>
      <c r="AU184" t="str">
        <f t="shared" si="198"/>
        <v>References</v>
      </c>
      <c r="AV184" t="str">
        <f t="shared" si="213"/>
        <v>2.3.5.RX</v>
      </c>
      <c r="AW184" t="str">
        <f>IF(AND(AS184&lt;&gt;"",LEFT(AS184,1)&lt;&gt;"#"),IF(LEFT(AS184,1)="-",REPLACE(AS184,1,1,tech!$H$2),AS184),"")</f>
        <v/>
      </c>
      <c r="AX184" t="s">
        <v>495</v>
      </c>
      <c r="AY184" s="492"/>
      <c r="AZ184" t="str">
        <f t="shared" si="236"/>
        <v>Change management and agility is periodically reviewed</v>
      </c>
      <c r="BA184" t="str">
        <f t="shared" si="199"/>
        <v>References</v>
      </c>
      <c r="BB184" t="str">
        <f t="shared" si="214"/>
        <v>2.4.5.RX</v>
      </c>
      <c r="BC184" t="str">
        <f>IF(AND(AY184&lt;&gt;"",LEFT(AY184,1)&lt;&gt;"#"),IF(LEFT(AY184,1)="-",REPLACE(AY184,1,1,tech!$H$2),AY184),"")</f>
        <v/>
      </c>
      <c r="BD184" t="s">
        <v>495</v>
      </c>
      <c r="BE184" s="492"/>
      <c r="BF184" t="str">
        <f t="shared" si="237"/>
        <v>Continual review and improvement</v>
      </c>
      <c r="BG184" t="str">
        <f t="shared" si="200"/>
        <v>References</v>
      </c>
      <c r="BH184" t="str">
        <f t="shared" si="215"/>
        <v>3.1.6.RX</v>
      </c>
      <c r="BI184" t="str">
        <f>IF(AND(BE184&lt;&gt;"",LEFT(BE184,1)&lt;&gt;"#"),IF(LEFT(BE184,1)="-",REPLACE(BE184,1,1,tech!$H$2),BE184),"")</f>
        <v/>
      </c>
      <c r="BJ184" t="s">
        <v>495</v>
      </c>
      <c r="BK184" s="492"/>
      <c r="BL184" t="str">
        <f t="shared" si="238"/>
        <v>Adoption and application of open standards</v>
      </c>
      <c r="BM184" t="str">
        <f t="shared" si="201"/>
        <v>References</v>
      </c>
      <c r="BN184" t="str">
        <f t="shared" si="216"/>
        <v>3.2.3.RX</v>
      </c>
      <c r="BO184" t="str">
        <f>IF(AND(BK184&lt;&gt;"",LEFT(BK184,1)&lt;&gt;"#"),IF(LEFT(BK184,1)="-",REPLACE(BK184,1,1,tech!$H$2),BK184),"")</f>
        <v/>
      </c>
      <c r="BP184" t="s">
        <v>495</v>
      </c>
      <c r="BQ184" s="492"/>
      <c r="BR184" t="str">
        <f t="shared" si="239"/>
        <v>Review of events and logs is periodically performed</v>
      </c>
      <c r="BS184" t="str">
        <f t="shared" si="202"/>
        <v>References</v>
      </c>
      <c r="BT184" t="str">
        <f t="shared" si="217"/>
        <v>3.3.6.RX</v>
      </c>
      <c r="BU184" t="str">
        <f>IF(AND(BQ184&lt;&gt;"",LEFT(BQ184,1)&lt;&gt;"#"),IF(LEFT(BQ184,1)="-",REPLACE(BQ184,1,1,tech!$H$2),BQ184),"")</f>
        <v/>
      </c>
      <c r="BV184" t="s">
        <v>495</v>
      </c>
      <c r="BW184" s="492"/>
      <c r="BX184" t="str">
        <f t="shared" si="240"/>
        <v>Incidents and exceptions handling</v>
      </c>
      <c r="BY184" t="str">
        <f t="shared" si="203"/>
        <v>References</v>
      </c>
      <c r="BZ184" t="str">
        <f t="shared" si="218"/>
        <v>3.4.3.RX</v>
      </c>
      <c r="CA184" t="str">
        <f>IF(AND(BW184&lt;&gt;"",LEFT(BW184,1)&lt;&gt;"#"),IF(LEFT(BW184,1)="-",REPLACE(BW184,1,1,tech!$H$2),BW184),"")</f>
        <v/>
      </c>
      <c r="CB184" t="s">
        <v>495</v>
      </c>
      <c r="CC184" s="492"/>
      <c r="CD184" t="str">
        <f t="shared" si="241"/>
        <v>Resources are periodically reviewed</v>
      </c>
      <c r="CE184" t="str">
        <f t="shared" si="204"/>
        <v>References</v>
      </c>
      <c r="CF184" t="str">
        <f t="shared" si="219"/>
        <v>4.1.4.RX</v>
      </c>
      <c r="CG184" t="str">
        <f>IF(AND(CC184&lt;&gt;"",LEFT(CC184,1)&lt;&gt;"#"),IF(LEFT(CC184,1)="-",REPLACE(CC184,1,1,tech!$H$2),CC184),"")</f>
        <v/>
      </c>
      <c r="CH184" t="s">
        <v>495</v>
      </c>
      <c r="CI184" s="492"/>
      <c r="CJ184" t="str">
        <f t="shared" si="242"/>
        <v>Periodically review knowledge</v>
      </c>
      <c r="CK184" t="str">
        <f t="shared" si="205"/>
        <v>References</v>
      </c>
      <c r="CL184" t="str">
        <f t="shared" si="220"/>
        <v>4.2.5.RX</v>
      </c>
      <c r="CM184" t="str">
        <f>IF(AND(CI184&lt;&gt;"",LEFT(CI184,1)&lt;&gt;"#"),IF(LEFT(CI184,1)="-",REPLACE(CI184,1,1,tech!$H$2),CI184),"")</f>
        <v/>
      </c>
      <c r="CN184" t="s">
        <v>495</v>
      </c>
      <c r="CO184" s="492"/>
      <c r="CP184" t="str">
        <f t="shared" si="243"/>
        <v>Timely communication of important information</v>
      </c>
      <c r="CQ184" t="str">
        <f t="shared" si="206"/>
        <v>References</v>
      </c>
      <c r="CR184" t="str">
        <f t="shared" si="221"/>
        <v>4.3.4.RX</v>
      </c>
      <c r="CS184" t="str">
        <f>IF(AND(CO184&lt;&gt;"",LEFT(CO184,1)&lt;&gt;"#"),IF(LEFT(CO184,1)="-",REPLACE(CO184,1,1,tech!$H$2),CO184),"")</f>
        <v/>
      </c>
      <c r="CT184" t="s">
        <v>495</v>
      </c>
    </row>
    <row r="185" spans="15:98" x14ac:dyDescent="0.25">
      <c r="O185" s="492"/>
      <c r="P185" t="str">
        <f t="shared" si="222"/>
        <v>Policies are periodically reviewed and updated</v>
      </c>
      <c r="Q185" t="str">
        <f t="shared" si="223"/>
        <v>References</v>
      </c>
      <c r="R185" t="str">
        <f t="shared" si="224"/>
        <v>1.2.5.RX</v>
      </c>
      <c r="S185" t="str">
        <f>IF(AND(O185&lt;&gt;"",LEFT(O185,1)&lt;&gt;"#"),IF(LEFT(O185,1)="-",REPLACE(O185,1,1,tech!$H$2),O185),"")</f>
        <v/>
      </c>
      <c r="T185" t="s">
        <v>495</v>
      </c>
      <c r="U185" s="492"/>
      <c r="V185" t="str">
        <f t="shared" si="225"/>
        <v>List of relevant laws, regulations, and standards, exist and is maintained</v>
      </c>
      <c r="W185" t="str">
        <f t="shared" si="226"/>
        <v>References</v>
      </c>
      <c r="X185" t="str">
        <f t="shared" si="227"/>
        <v>1.3.4.RX</v>
      </c>
      <c r="Y185" t="str">
        <f>IF(AND(U185&lt;&gt;"",LEFT(U185,1)&lt;&gt;"#"),IF(LEFT(U185,1)="-",REPLACE(U185,1,1,tech!$H$2),U185),"")</f>
        <v/>
      </c>
      <c r="Z185" t="s">
        <v>495</v>
      </c>
      <c r="AA185" s="492"/>
      <c r="AB185" t="str">
        <f t="shared" si="228"/>
        <v>Processes and procedures are reviewed and updated</v>
      </c>
      <c r="AC185" t="str">
        <f t="shared" si="229"/>
        <v>References</v>
      </c>
      <c r="AD185" t="str">
        <f t="shared" si="230"/>
        <v>1.4.5.RX</v>
      </c>
      <c r="AE185" t="str">
        <f>IF(AND(AA185&lt;&gt;"",LEFT(AA185,1)&lt;&gt;"#"),IF(LEFT(AA185,1)="-",REPLACE(AA185,1,1,tech!$H$2),AA185),"")</f>
        <v/>
      </c>
      <c r="AF185" t="s">
        <v>495</v>
      </c>
      <c r="AG185" s="492"/>
      <c r="AH185" t="str">
        <f t="shared" si="231"/>
        <v>Key management is periodically reviewed and updated</v>
      </c>
      <c r="AI185" t="str">
        <f t="shared" si="232"/>
        <v>References</v>
      </c>
      <c r="AJ185" t="str">
        <f t="shared" si="233"/>
        <v>2.1.6.RX</v>
      </c>
      <c r="AK185" t="str">
        <f>IF(AND(AG185&lt;&gt;"",LEFT(AG185,1)&lt;&gt;"#"),IF(LEFT(AG185,1)="-",REPLACE(AG185,1,1,tech!$H$2),AG185),"")</f>
        <v/>
      </c>
      <c r="AL185" t="s">
        <v>495</v>
      </c>
      <c r="AM185" s="492" t="s">
        <v>707</v>
      </c>
      <c r="AN185" t="str">
        <f t="shared" si="234"/>
        <v>Certificate management is periodically reviewed and updated</v>
      </c>
      <c r="AO185" t="str">
        <f t="shared" si="197"/>
        <v>References</v>
      </c>
      <c r="AP185" t="str">
        <f t="shared" si="212"/>
        <v>2.2.6.RY</v>
      </c>
      <c r="AQ185" t="str">
        <f>IF(AND(AM185&lt;&gt;"",LEFT(AM185,1)&lt;&gt;"#"),IF(LEFT(AM185,1)="-",REPLACE(AM185,1,1,tech!$H$2),AM185),"")</f>
        <v>• [ISO/IEC 27001 and related standards](https://www.iso.org/isoiec-27001-information-security.html)</v>
      </c>
      <c r="AR185" t="s">
        <v>495</v>
      </c>
      <c r="AS185" s="492"/>
      <c r="AT185" t="str">
        <f t="shared" si="235"/>
        <v>Infrastructure activities are periodically reviewed</v>
      </c>
      <c r="AU185" t="str">
        <f t="shared" si="198"/>
        <v>References</v>
      </c>
      <c r="AV185" t="str">
        <f t="shared" si="213"/>
        <v>2.3.5.RX</v>
      </c>
      <c r="AW185" t="str">
        <f>IF(AND(AS185&lt;&gt;"",LEFT(AS185,1)&lt;&gt;"#"),IF(LEFT(AS185,1)="-",REPLACE(AS185,1,1,tech!$H$2),AS185),"")</f>
        <v/>
      </c>
      <c r="AX185" t="s">
        <v>495</v>
      </c>
      <c r="AY185" s="492"/>
      <c r="AZ185" t="str">
        <f t="shared" si="236"/>
        <v>Change management and agility is periodically reviewed</v>
      </c>
      <c r="BA185" t="str">
        <f t="shared" si="199"/>
        <v>References</v>
      </c>
      <c r="BB185" t="str">
        <f t="shared" si="214"/>
        <v>2.4.5.RX</v>
      </c>
      <c r="BC185" t="str">
        <f>IF(AND(AY185&lt;&gt;"",LEFT(AY185,1)&lt;&gt;"#"),IF(LEFT(AY185,1)="-",REPLACE(AY185,1,1,tech!$H$2),AY185),"")</f>
        <v/>
      </c>
      <c r="BD185" t="s">
        <v>495</v>
      </c>
      <c r="BE185" s="492"/>
      <c r="BF185" t="str">
        <f t="shared" si="237"/>
        <v>Continual review and improvement</v>
      </c>
      <c r="BG185" t="str">
        <f t="shared" si="200"/>
        <v>References</v>
      </c>
      <c r="BH185" t="str">
        <f t="shared" si="215"/>
        <v>3.1.6.RX</v>
      </c>
      <c r="BI185" t="str">
        <f>IF(AND(BE185&lt;&gt;"",LEFT(BE185,1)&lt;&gt;"#"),IF(LEFT(BE185,1)="-",REPLACE(BE185,1,1,tech!$H$2),BE185),"")</f>
        <v/>
      </c>
      <c r="BJ185" t="s">
        <v>495</v>
      </c>
      <c r="BK185" s="492"/>
      <c r="BL185" t="str">
        <f t="shared" si="238"/>
        <v>Adoption and application of open standards</v>
      </c>
      <c r="BM185" t="str">
        <f t="shared" si="201"/>
        <v>References</v>
      </c>
      <c r="BN185" t="str">
        <f t="shared" si="216"/>
        <v>3.2.3.RX</v>
      </c>
      <c r="BO185" t="str">
        <f>IF(AND(BK185&lt;&gt;"",LEFT(BK185,1)&lt;&gt;"#"),IF(LEFT(BK185,1)="-",REPLACE(BK185,1,1,tech!$H$2),BK185),"")</f>
        <v/>
      </c>
      <c r="BP185" t="s">
        <v>495</v>
      </c>
      <c r="BQ185" s="492"/>
      <c r="BR185" t="str">
        <f t="shared" si="239"/>
        <v>Review of events and logs is periodically performed</v>
      </c>
      <c r="BS185" t="str">
        <f t="shared" si="202"/>
        <v>References</v>
      </c>
      <c r="BT185" t="str">
        <f t="shared" si="217"/>
        <v>3.3.6.RX</v>
      </c>
      <c r="BU185" t="str">
        <f>IF(AND(BQ185&lt;&gt;"",LEFT(BQ185,1)&lt;&gt;"#"),IF(LEFT(BQ185,1)="-",REPLACE(BQ185,1,1,tech!$H$2),BQ185),"")</f>
        <v/>
      </c>
      <c r="BV185" t="s">
        <v>495</v>
      </c>
      <c r="BW185" s="492"/>
      <c r="BX185" t="str">
        <f t="shared" si="240"/>
        <v>Incidents and exceptions handling</v>
      </c>
      <c r="BY185" t="str">
        <f t="shared" si="203"/>
        <v>References</v>
      </c>
      <c r="BZ185" t="str">
        <f t="shared" si="218"/>
        <v>3.4.3.RX</v>
      </c>
      <c r="CA185" t="str">
        <f>IF(AND(BW185&lt;&gt;"",LEFT(BW185,1)&lt;&gt;"#"),IF(LEFT(BW185,1)="-",REPLACE(BW185,1,1,tech!$H$2),BW185),"")</f>
        <v/>
      </c>
      <c r="CB185" t="s">
        <v>495</v>
      </c>
      <c r="CC185" s="492"/>
      <c r="CD185" t="str">
        <f t="shared" si="241"/>
        <v>Resources are periodically reviewed</v>
      </c>
      <c r="CE185" t="str">
        <f t="shared" si="204"/>
        <v>References</v>
      </c>
      <c r="CF185" t="str">
        <f t="shared" si="219"/>
        <v>4.1.4.RX</v>
      </c>
      <c r="CG185" t="str">
        <f>IF(AND(CC185&lt;&gt;"",LEFT(CC185,1)&lt;&gt;"#"),IF(LEFT(CC185,1)="-",REPLACE(CC185,1,1,tech!$H$2),CC185),"")</f>
        <v/>
      </c>
      <c r="CH185" t="s">
        <v>495</v>
      </c>
      <c r="CI185" s="492"/>
      <c r="CJ185" t="str">
        <f t="shared" si="242"/>
        <v>Periodically review knowledge</v>
      </c>
      <c r="CK185" t="str">
        <f t="shared" si="205"/>
        <v>References</v>
      </c>
      <c r="CL185" t="str">
        <f t="shared" si="220"/>
        <v>4.2.5.RX</v>
      </c>
      <c r="CM185" t="str">
        <f>IF(AND(CI185&lt;&gt;"",LEFT(CI185,1)&lt;&gt;"#"),IF(LEFT(CI185,1)="-",REPLACE(CI185,1,1,tech!$H$2),CI185),"")</f>
        <v/>
      </c>
      <c r="CN185" t="s">
        <v>495</v>
      </c>
      <c r="CO185" s="492"/>
      <c r="CP185" t="str">
        <f t="shared" si="243"/>
        <v>Timely communication of important information</v>
      </c>
      <c r="CQ185" t="str">
        <f t="shared" si="206"/>
        <v>References</v>
      </c>
      <c r="CR185" t="str">
        <f t="shared" si="221"/>
        <v>4.3.4.RX</v>
      </c>
      <c r="CS185" t="str">
        <f>IF(AND(CO185&lt;&gt;"",LEFT(CO185,1)&lt;&gt;"#"),IF(LEFT(CO185,1)="-",REPLACE(CO185,1,1,tech!$H$2),CO185),"")</f>
        <v/>
      </c>
      <c r="CT185" t="s">
        <v>495</v>
      </c>
    </row>
    <row r="186" spans="15:98" x14ac:dyDescent="0.25">
      <c r="O186" s="492"/>
      <c r="P186" t="str">
        <f t="shared" si="222"/>
        <v>Policies are periodically reviewed and updated</v>
      </c>
      <c r="Q186" t="str">
        <f t="shared" si="223"/>
        <v>References</v>
      </c>
      <c r="R186" t="str">
        <f t="shared" si="224"/>
        <v>1.2.5.RX</v>
      </c>
      <c r="S186" t="str">
        <f>IF(AND(O186&lt;&gt;"",LEFT(O186,1)&lt;&gt;"#"),IF(LEFT(O186,1)="-",REPLACE(O186,1,1,tech!$H$2),O186),"")</f>
        <v/>
      </c>
      <c r="T186" t="s">
        <v>495</v>
      </c>
      <c r="U186" s="492"/>
      <c r="V186" t="str">
        <f t="shared" si="225"/>
        <v>List of relevant laws, regulations, and standards, exist and is maintained</v>
      </c>
      <c r="W186" t="str">
        <f t="shared" si="226"/>
        <v>References</v>
      </c>
      <c r="X186" t="str">
        <f t="shared" si="227"/>
        <v>1.3.4.RX</v>
      </c>
      <c r="Y186" t="str">
        <f>IF(AND(U186&lt;&gt;"",LEFT(U186,1)&lt;&gt;"#"),IF(LEFT(U186,1)="-",REPLACE(U186,1,1,tech!$H$2),U186),"")</f>
        <v/>
      </c>
      <c r="Z186" t="s">
        <v>495</v>
      </c>
      <c r="AA186" s="492"/>
      <c r="AB186" t="str">
        <f t="shared" si="228"/>
        <v>Processes and procedures are reviewed and updated</v>
      </c>
      <c r="AC186" t="str">
        <f t="shared" si="229"/>
        <v>References</v>
      </c>
      <c r="AD186" t="str">
        <f t="shared" si="230"/>
        <v>1.4.5.RX</v>
      </c>
      <c r="AE186" t="str">
        <f>IF(AND(AA186&lt;&gt;"",LEFT(AA186,1)&lt;&gt;"#"),IF(LEFT(AA186,1)="-",REPLACE(AA186,1,1,tech!$H$2),AA186),"")</f>
        <v/>
      </c>
      <c r="AF186" t="s">
        <v>495</v>
      </c>
      <c r="AG186" s="492"/>
      <c r="AH186" t="str">
        <f t="shared" si="231"/>
        <v>Key management is periodically reviewed and updated</v>
      </c>
      <c r="AI186" t="str">
        <f t="shared" si="232"/>
        <v>References</v>
      </c>
      <c r="AJ186" t="str">
        <f t="shared" si="233"/>
        <v>2.1.6.RX</v>
      </c>
      <c r="AK186" t="str">
        <f>IF(AND(AG186&lt;&gt;"",LEFT(AG186,1)&lt;&gt;"#"),IF(LEFT(AG186,1)="-",REPLACE(AG186,1,1,tech!$H$2),AG186),"")</f>
        <v/>
      </c>
      <c r="AL186" t="s">
        <v>495</v>
      </c>
      <c r="AM186" s="492"/>
      <c r="AN186" t="str">
        <f t="shared" si="234"/>
        <v>Certificate management is periodically reviewed and updated</v>
      </c>
      <c r="AO186" t="str">
        <f t="shared" si="197"/>
        <v>References</v>
      </c>
      <c r="AP186" t="str">
        <f t="shared" si="212"/>
        <v>2.2.6.RX</v>
      </c>
      <c r="AQ186" t="str">
        <f>IF(AND(AM186&lt;&gt;"",LEFT(AM186,1)&lt;&gt;"#"),IF(LEFT(AM186,1)="-",REPLACE(AM186,1,1,tech!$H$2),AM186),"")</f>
        <v/>
      </c>
      <c r="AR186" t="s">
        <v>495</v>
      </c>
      <c r="AS186" s="492"/>
      <c r="AT186" t="str">
        <f t="shared" si="235"/>
        <v>Infrastructure activities are periodically reviewed</v>
      </c>
      <c r="AU186" t="str">
        <f t="shared" si="198"/>
        <v>References</v>
      </c>
      <c r="AV186" t="str">
        <f t="shared" si="213"/>
        <v>2.3.5.RX</v>
      </c>
      <c r="AW186" t="str">
        <f>IF(AND(AS186&lt;&gt;"",LEFT(AS186,1)&lt;&gt;"#"),IF(LEFT(AS186,1)="-",REPLACE(AS186,1,1,tech!$H$2),AS186),"")</f>
        <v/>
      </c>
      <c r="AX186" t="s">
        <v>495</v>
      </c>
      <c r="AY186" s="492"/>
      <c r="AZ186" t="str">
        <f t="shared" si="236"/>
        <v>Change management and agility is periodically reviewed</v>
      </c>
      <c r="BA186" t="str">
        <f t="shared" si="199"/>
        <v>References</v>
      </c>
      <c r="BB186" t="str">
        <f t="shared" si="214"/>
        <v>2.4.5.RX</v>
      </c>
      <c r="BC186" t="str">
        <f>IF(AND(AY186&lt;&gt;"",LEFT(AY186,1)&lt;&gt;"#"),IF(LEFT(AY186,1)="-",REPLACE(AY186,1,1,tech!$H$2),AY186),"")</f>
        <v/>
      </c>
      <c r="BD186" t="s">
        <v>495</v>
      </c>
      <c r="BE186" s="492"/>
      <c r="BF186" t="str">
        <f t="shared" si="237"/>
        <v>Continual review and improvement</v>
      </c>
      <c r="BG186" t="str">
        <f t="shared" si="200"/>
        <v>References</v>
      </c>
      <c r="BH186" t="str">
        <f t="shared" si="215"/>
        <v>3.1.6.RX</v>
      </c>
      <c r="BI186" t="str">
        <f>IF(AND(BE186&lt;&gt;"",LEFT(BE186,1)&lt;&gt;"#"),IF(LEFT(BE186,1)="-",REPLACE(BE186,1,1,tech!$H$2),BE186),"")</f>
        <v/>
      </c>
      <c r="BJ186" t="s">
        <v>495</v>
      </c>
      <c r="BK186" s="492"/>
      <c r="BL186" t="str">
        <f t="shared" si="238"/>
        <v>Adoption and application of open standards</v>
      </c>
      <c r="BM186" t="str">
        <f t="shared" si="201"/>
        <v>References</v>
      </c>
      <c r="BN186" t="str">
        <f t="shared" si="216"/>
        <v>3.2.3.RX</v>
      </c>
      <c r="BO186" t="str">
        <f>IF(AND(BK186&lt;&gt;"",LEFT(BK186,1)&lt;&gt;"#"),IF(LEFT(BK186,1)="-",REPLACE(BK186,1,1,tech!$H$2),BK186),"")</f>
        <v/>
      </c>
      <c r="BP186" t="s">
        <v>495</v>
      </c>
      <c r="BQ186" s="492"/>
      <c r="BR186" t="str">
        <f t="shared" si="239"/>
        <v>Review of events and logs is periodically performed</v>
      </c>
      <c r="BS186" t="str">
        <f t="shared" si="202"/>
        <v>References</v>
      </c>
      <c r="BT186" t="str">
        <f t="shared" si="217"/>
        <v>3.3.6.RX</v>
      </c>
      <c r="BU186" t="str">
        <f>IF(AND(BQ186&lt;&gt;"",LEFT(BQ186,1)&lt;&gt;"#"),IF(LEFT(BQ186,1)="-",REPLACE(BQ186,1,1,tech!$H$2),BQ186),"")</f>
        <v/>
      </c>
      <c r="BV186" t="s">
        <v>495</v>
      </c>
      <c r="BW186" s="492"/>
      <c r="BX186" t="str">
        <f t="shared" si="240"/>
        <v>Incidents and exceptions handling</v>
      </c>
      <c r="BY186" t="str">
        <f t="shared" si="203"/>
        <v>References</v>
      </c>
      <c r="BZ186" t="str">
        <f t="shared" si="218"/>
        <v>3.4.3.RX</v>
      </c>
      <c r="CA186" t="str">
        <f>IF(AND(BW186&lt;&gt;"",LEFT(BW186,1)&lt;&gt;"#"),IF(LEFT(BW186,1)="-",REPLACE(BW186,1,1,tech!$H$2),BW186),"")</f>
        <v/>
      </c>
      <c r="CB186" t="s">
        <v>495</v>
      </c>
      <c r="CC186" s="492"/>
      <c r="CD186" t="str">
        <f t="shared" si="241"/>
        <v>Resources are periodically reviewed</v>
      </c>
      <c r="CE186" t="str">
        <f t="shared" si="204"/>
        <v>References</v>
      </c>
      <c r="CF186" t="str">
        <f t="shared" si="219"/>
        <v>4.1.4.RX</v>
      </c>
      <c r="CG186" t="str">
        <f>IF(AND(CC186&lt;&gt;"",LEFT(CC186,1)&lt;&gt;"#"),IF(LEFT(CC186,1)="-",REPLACE(CC186,1,1,tech!$H$2),CC186),"")</f>
        <v/>
      </c>
      <c r="CH186" t="s">
        <v>495</v>
      </c>
      <c r="CI186" s="492"/>
      <c r="CJ186" t="str">
        <f t="shared" si="242"/>
        <v>Periodically review knowledge</v>
      </c>
      <c r="CK186" t="str">
        <f t="shared" si="205"/>
        <v>References</v>
      </c>
      <c r="CL186" t="str">
        <f t="shared" si="220"/>
        <v>4.2.5.RX</v>
      </c>
      <c r="CM186" t="str">
        <f>IF(AND(CI186&lt;&gt;"",LEFT(CI186,1)&lt;&gt;"#"),IF(LEFT(CI186,1)="-",REPLACE(CI186,1,1,tech!$H$2),CI186),"")</f>
        <v/>
      </c>
      <c r="CN186" t="s">
        <v>495</v>
      </c>
      <c r="CO186" s="492"/>
      <c r="CP186" t="str">
        <f t="shared" si="243"/>
        <v>Timely communication of important information</v>
      </c>
      <c r="CQ186" t="str">
        <f t="shared" si="206"/>
        <v>References</v>
      </c>
      <c r="CR186" t="str">
        <f t="shared" si="221"/>
        <v>4.3.4.RX</v>
      </c>
      <c r="CS186" t="str">
        <f>IF(AND(CO186&lt;&gt;"",LEFT(CO186,1)&lt;&gt;"#"),IF(LEFT(CO186,1)="-",REPLACE(CO186,1,1,tech!$H$2),CO186),"")</f>
        <v/>
      </c>
      <c r="CT186" t="s">
        <v>495</v>
      </c>
    </row>
    <row r="187" spans="15:98" x14ac:dyDescent="0.25">
      <c r="O187" s="492"/>
      <c r="P187" t="str">
        <f t="shared" si="222"/>
        <v>Policies are periodically reviewed and updated</v>
      </c>
      <c r="Q187" t="str">
        <f t="shared" si="223"/>
        <v>References</v>
      </c>
      <c r="R187" t="str">
        <f t="shared" si="224"/>
        <v>1.2.5.RX</v>
      </c>
      <c r="S187" t="str">
        <f>IF(AND(O187&lt;&gt;"",LEFT(O187,1)&lt;&gt;"#"),IF(LEFT(O187,1)="-",REPLACE(O187,1,1,tech!$H$2),O187),"")</f>
        <v/>
      </c>
      <c r="T187" t="s">
        <v>495</v>
      </c>
      <c r="U187" s="492"/>
      <c r="V187" t="str">
        <f t="shared" si="225"/>
        <v>List of relevant laws, regulations, and standards, exist and is maintained</v>
      </c>
      <c r="W187" t="str">
        <f t="shared" si="226"/>
        <v>References</v>
      </c>
      <c r="X187" t="str">
        <f t="shared" si="227"/>
        <v>1.3.4.RX</v>
      </c>
      <c r="Y187" t="str">
        <f>IF(AND(U187&lt;&gt;"",LEFT(U187,1)&lt;&gt;"#"),IF(LEFT(U187,1)="-",REPLACE(U187,1,1,tech!$H$2),U187),"")</f>
        <v/>
      </c>
      <c r="Z187" t="s">
        <v>495</v>
      </c>
      <c r="AA187" s="492"/>
      <c r="AB187" t="str">
        <f t="shared" si="228"/>
        <v>Processes and procedures are reviewed and updated</v>
      </c>
      <c r="AC187" t="str">
        <f t="shared" si="229"/>
        <v>References</v>
      </c>
      <c r="AD187" t="str">
        <f t="shared" si="230"/>
        <v>1.4.5.RX</v>
      </c>
      <c r="AE187" t="str">
        <f>IF(AND(AA187&lt;&gt;"",LEFT(AA187,1)&lt;&gt;"#"),IF(LEFT(AA187,1)="-",REPLACE(AA187,1,1,tech!$H$2),AA187),"")</f>
        <v/>
      </c>
      <c r="AF187" t="s">
        <v>495</v>
      </c>
      <c r="AG187" s="492"/>
      <c r="AH187" t="str">
        <f t="shared" si="231"/>
        <v>Key management is periodically reviewed and updated</v>
      </c>
      <c r="AI187" t="str">
        <f t="shared" si="232"/>
        <v>References</v>
      </c>
      <c r="AJ187" t="str">
        <f t="shared" si="233"/>
        <v>2.1.6.RX</v>
      </c>
      <c r="AK187" t="str">
        <f>IF(AND(AG187&lt;&gt;"",LEFT(AG187,1)&lt;&gt;"#"),IF(LEFT(AG187,1)="-",REPLACE(AG187,1,1,tech!$H$2),AG187),"")</f>
        <v/>
      </c>
      <c r="AL187" t="s">
        <v>495</v>
      </c>
      <c r="AM187" s="492" t="s">
        <v>871</v>
      </c>
      <c r="AN187" t="str">
        <f t="shared" si="234"/>
        <v>Organizational PKI governance</v>
      </c>
      <c r="AO187" t="str">
        <f t="shared" si="197"/>
        <v>References</v>
      </c>
      <c r="AP187" t="str">
        <f t="shared" si="212"/>
        <v>2.2.7.RX</v>
      </c>
      <c r="AQ187" t="str">
        <f>IF(AND(AM187&lt;&gt;"",LEFT(AM187,1)&lt;&gt;"#"),IF(LEFT(AM187,1)="-",REPLACE(AM187,1,1,tech!$H$2),AM187),"")</f>
        <v/>
      </c>
      <c r="AR187" t="s">
        <v>495</v>
      </c>
      <c r="AS187" s="492"/>
      <c r="AT187" t="str">
        <f t="shared" si="235"/>
        <v>Infrastructure activities are periodically reviewed</v>
      </c>
      <c r="AU187" t="str">
        <f t="shared" si="198"/>
        <v>References</v>
      </c>
      <c r="AV187" t="str">
        <f t="shared" si="213"/>
        <v>2.3.5.RX</v>
      </c>
      <c r="AW187" t="str">
        <f>IF(AND(AS187&lt;&gt;"",LEFT(AS187,1)&lt;&gt;"#"),IF(LEFT(AS187,1)="-",REPLACE(AS187,1,1,tech!$H$2),AS187),"")</f>
        <v/>
      </c>
      <c r="AX187" t="s">
        <v>495</v>
      </c>
      <c r="AY187" s="492"/>
      <c r="AZ187" t="str">
        <f t="shared" si="236"/>
        <v>Change management and agility is periodically reviewed</v>
      </c>
      <c r="BA187" t="str">
        <f t="shared" si="199"/>
        <v>References</v>
      </c>
      <c r="BB187" t="str">
        <f t="shared" si="214"/>
        <v>2.4.5.RX</v>
      </c>
      <c r="BC187" t="str">
        <f>IF(AND(AY187&lt;&gt;"",LEFT(AY187,1)&lt;&gt;"#"),IF(LEFT(AY187,1)="-",REPLACE(AY187,1,1,tech!$H$2),AY187),"")</f>
        <v/>
      </c>
      <c r="BD187" t="s">
        <v>495</v>
      </c>
      <c r="BE187" s="492"/>
      <c r="BF187" t="str">
        <f t="shared" si="237"/>
        <v>Continual review and improvement</v>
      </c>
      <c r="BG187" t="str">
        <f t="shared" si="200"/>
        <v>References</v>
      </c>
      <c r="BH187" t="str">
        <f t="shared" si="215"/>
        <v>3.1.6.RX</v>
      </c>
      <c r="BI187" t="str">
        <f>IF(AND(BE187&lt;&gt;"",LEFT(BE187,1)&lt;&gt;"#"),IF(LEFT(BE187,1)="-",REPLACE(BE187,1,1,tech!$H$2),BE187),"")</f>
        <v/>
      </c>
      <c r="BJ187" t="s">
        <v>495</v>
      </c>
      <c r="BK187" s="492"/>
      <c r="BL187" t="str">
        <f t="shared" si="238"/>
        <v>Adoption and application of open standards</v>
      </c>
      <c r="BM187" t="str">
        <f t="shared" si="201"/>
        <v>References</v>
      </c>
      <c r="BN187" t="str">
        <f t="shared" si="216"/>
        <v>3.2.3.RX</v>
      </c>
      <c r="BO187" t="str">
        <f>IF(AND(BK187&lt;&gt;"",LEFT(BK187,1)&lt;&gt;"#"),IF(LEFT(BK187,1)="-",REPLACE(BK187,1,1,tech!$H$2),BK187),"")</f>
        <v/>
      </c>
      <c r="BP187" t="s">
        <v>495</v>
      </c>
      <c r="BQ187" s="492"/>
      <c r="BR187" t="str">
        <f t="shared" si="239"/>
        <v>Review of events and logs is periodically performed</v>
      </c>
      <c r="BS187" t="str">
        <f t="shared" si="202"/>
        <v>References</v>
      </c>
      <c r="BT187" t="str">
        <f t="shared" si="217"/>
        <v>3.3.6.RX</v>
      </c>
      <c r="BU187" t="str">
        <f>IF(AND(BQ187&lt;&gt;"",LEFT(BQ187,1)&lt;&gt;"#"),IF(LEFT(BQ187,1)="-",REPLACE(BQ187,1,1,tech!$H$2),BQ187),"")</f>
        <v/>
      </c>
      <c r="BV187" t="s">
        <v>495</v>
      </c>
      <c r="BW187" s="492"/>
      <c r="BX187" t="str">
        <f t="shared" si="240"/>
        <v>Incidents and exceptions handling</v>
      </c>
      <c r="BY187" t="str">
        <f t="shared" si="203"/>
        <v>References</v>
      </c>
      <c r="BZ187" t="str">
        <f t="shared" si="218"/>
        <v>3.4.3.RX</v>
      </c>
      <c r="CA187" t="str">
        <f>IF(AND(BW187&lt;&gt;"",LEFT(BW187,1)&lt;&gt;"#"),IF(LEFT(BW187,1)="-",REPLACE(BW187,1,1,tech!$H$2),BW187),"")</f>
        <v/>
      </c>
      <c r="CB187" t="s">
        <v>495</v>
      </c>
      <c r="CC187" s="492"/>
      <c r="CD187" t="str">
        <f t="shared" si="241"/>
        <v>Resources are periodically reviewed</v>
      </c>
      <c r="CE187" t="str">
        <f t="shared" si="204"/>
        <v>References</v>
      </c>
      <c r="CF187" t="str">
        <f t="shared" si="219"/>
        <v>4.1.4.RX</v>
      </c>
      <c r="CG187" t="str">
        <f>IF(AND(CC187&lt;&gt;"",LEFT(CC187,1)&lt;&gt;"#"),IF(LEFT(CC187,1)="-",REPLACE(CC187,1,1,tech!$H$2),CC187),"")</f>
        <v/>
      </c>
      <c r="CH187" t="s">
        <v>495</v>
      </c>
      <c r="CI187" s="492"/>
      <c r="CJ187" t="str">
        <f t="shared" si="242"/>
        <v>Periodically review knowledge</v>
      </c>
      <c r="CK187" t="str">
        <f t="shared" si="205"/>
        <v>References</v>
      </c>
      <c r="CL187" t="str">
        <f t="shared" si="220"/>
        <v>4.2.5.RX</v>
      </c>
      <c r="CM187" t="str">
        <f>IF(AND(CI187&lt;&gt;"",LEFT(CI187,1)&lt;&gt;"#"),IF(LEFT(CI187,1)="-",REPLACE(CI187,1,1,tech!$H$2),CI187),"")</f>
        <v/>
      </c>
      <c r="CN187" t="s">
        <v>495</v>
      </c>
      <c r="CO187" s="492"/>
      <c r="CP187" t="str">
        <f t="shared" si="243"/>
        <v>Timely communication of important information</v>
      </c>
      <c r="CQ187" t="str">
        <f t="shared" si="206"/>
        <v>References</v>
      </c>
      <c r="CR187" t="str">
        <f t="shared" si="221"/>
        <v>4.3.4.RX</v>
      </c>
      <c r="CS187" t="str">
        <f>IF(AND(CO187&lt;&gt;"",LEFT(CO187,1)&lt;&gt;"#"),IF(LEFT(CO187,1)="-",REPLACE(CO187,1,1,tech!$H$2),CO187),"")</f>
        <v/>
      </c>
      <c r="CT187" t="s">
        <v>495</v>
      </c>
    </row>
    <row r="188" spans="15:98" x14ac:dyDescent="0.25">
      <c r="O188" s="492"/>
      <c r="P188" t="str">
        <f t="shared" si="222"/>
        <v>Policies are periodically reviewed and updated</v>
      </c>
      <c r="Q188" t="str">
        <f t="shared" si="223"/>
        <v>References</v>
      </c>
      <c r="R188" t="str">
        <f t="shared" si="224"/>
        <v>1.2.5.RX</v>
      </c>
      <c r="S188" t="str">
        <f>IF(AND(O188&lt;&gt;"",LEFT(O188,1)&lt;&gt;"#"),IF(LEFT(O188,1)="-",REPLACE(O188,1,1,tech!$H$2),O188),"")</f>
        <v/>
      </c>
      <c r="T188" t="s">
        <v>495</v>
      </c>
      <c r="U188" s="492"/>
      <c r="V188" t="str">
        <f t="shared" si="225"/>
        <v>List of relevant laws, regulations, and standards, exist and is maintained</v>
      </c>
      <c r="W188" t="str">
        <f t="shared" si="226"/>
        <v>References</v>
      </c>
      <c r="X188" t="str">
        <f t="shared" si="227"/>
        <v>1.3.4.RX</v>
      </c>
      <c r="Y188" t="str">
        <f>IF(AND(U188&lt;&gt;"",LEFT(U188,1)&lt;&gt;"#"),IF(LEFT(U188,1)="-",REPLACE(U188,1,1,tech!$H$2),U188),"")</f>
        <v/>
      </c>
      <c r="Z188" t="s">
        <v>495</v>
      </c>
      <c r="AA188" s="492"/>
      <c r="AB188" t="str">
        <f t="shared" si="228"/>
        <v>Processes and procedures are reviewed and updated</v>
      </c>
      <c r="AC188" t="str">
        <f t="shared" si="229"/>
        <v>References</v>
      </c>
      <c r="AD188" t="str">
        <f t="shared" si="230"/>
        <v>1.4.5.RX</v>
      </c>
      <c r="AE188" t="str">
        <f>IF(AND(AA188&lt;&gt;"",LEFT(AA188,1)&lt;&gt;"#"),IF(LEFT(AA188,1)="-",REPLACE(AA188,1,1,tech!$H$2),AA188),"")</f>
        <v/>
      </c>
      <c r="AF188" t="s">
        <v>495</v>
      </c>
      <c r="AG188" s="492"/>
      <c r="AH188" t="str">
        <f t="shared" si="231"/>
        <v>Key management is periodically reviewed and updated</v>
      </c>
      <c r="AI188" t="str">
        <f t="shared" si="232"/>
        <v>References</v>
      </c>
      <c r="AJ188" t="str">
        <f t="shared" si="233"/>
        <v>2.1.6.RX</v>
      </c>
      <c r="AK188" t="str">
        <f>IF(AND(AG188&lt;&gt;"",LEFT(AG188,1)&lt;&gt;"#"),IF(LEFT(AG188,1)="-",REPLACE(AG188,1,1,tech!$H$2),AG188),"")</f>
        <v/>
      </c>
      <c r="AL188" t="s">
        <v>495</v>
      </c>
      <c r="AM188" s="492"/>
      <c r="AN188" t="str">
        <f t="shared" si="234"/>
        <v>Organizational PKI governance</v>
      </c>
      <c r="AO188" t="str">
        <f t="shared" si="197"/>
        <v>References</v>
      </c>
      <c r="AP188" t="str">
        <f t="shared" si="212"/>
        <v>2.2.7.RX</v>
      </c>
      <c r="AQ188" t="str">
        <f>IF(AND(AM188&lt;&gt;"",LEFT(AM188,1)&lt;&gt;"#"),IF(LEFT(AM188,1)="-",REPLACE(AM188,1,1,tech!$H$2),AM188),"")</f>
        <v/>
      </c>
      <c r="AR188" t="s">
        <v>495</v>
      </c>
      <c r="AS188" s="492"/>
      <c r="AT188" t="str">
        <f t="shared" si="235"/>
        <v>Infrastructure activities are periodically reviewed</v>
      </c>
      <c r="AU188" t="str">
        <f t="shared" si="198"/>
        <v>References</v>
      </c>
      <c r="AV188" t="str">
        <f t="shared" si="213"/>
        <v>2.3.5.RX</v>
      </c>
      <c r="AW188" t="str">
        <f>IF(AND(AS188&lt;&gt;"",LEFT(AS188,1)&lt;&gt;"#"),IF(LEFT(AS188,1)="-",REPLACE(AS188,1,1,tech!$H$2),AS188),"")</f>
        <v/>
      </c>
      <c r="AX188" t="s">
        <v>495</v>
      </c>
      <c r="AY188" s="492"/>
      <c r="AZ188" t="str">
        <f t="shared" si="236"/>
        <v>Change management and agility is periodically reviewed</v>
      </c>
      <c r="BA188" t="str">
        <f t="shared" si="199"/>
        <v>References</v>
      </c>
      <c r="BB188" t="str">
        <f t="shared" si="214"/>
        <v>2.4.5.RX</v>
      </c>
      <c r="BC188" t="str">
        <f>IF(AND(AY188&lt;&gt;"",LEFT(AY188,1)&lt;&gt;"#"),IF(LEFT(AY188,1)="-",REPLACE(AY188,1,1,tech!$H$2),AY188),"")</f>
        <v/>
      </c>
      <c r="BD188" t="s">
        <v>495</v>
      </c>
      <c r="BE188" s="492"/>
      <c r="BF188" t="str">
        <f t="shared" si="237"/>
        <v>Continual review and improvement</v>
      </c>
      <c r="BG188" t="str">
        <f t="shared" si="200"/>
        <v>References</v>
      </c>
      <c r="BH188" t="str">
        <f t="shared" si="215"/>
        <v>3.1.6.RX</v>
      </c>
      <c r="BI188" t="str">
        <f>IF(AND(BE188&lt;&gt;"",LEFT(BE188,1)&lt;&gt;"#"),IF(LEFT(BE188,1)="-",REPLACE(BE188,1,1,tech!$H$2),BE188),"")</f>
        <v/>
      </c>
      <c r="BJ188" t="s">
        <v>495</v>
      </c>
      <c r="BK188" s="492"/>
      <c r="BL188" t="str">
        <f t="shared" si="238"/>
        <v>Adoption and application of open standards</v>
      </c>
      <c r="BM188" t="str">
        <f t="shared" si="201"/>
        <v>References</v>
      </c>
      <c r="BN188" t="str">
        <f t="shared" si="216"/>
        <v>3.2.3.RX</v>
      </c>
      <c r="BO188" t="str">
        <f>IF(AND(BK188&lt;&gt;"",LEFT(BK188,1)&lt;&gt;"#"),IF(LEFT(BK188,1)="-",REPLACE(BK188,1,1,tech!$H$2),BK188),"")</f>
        <v/>
      </c>
      <c r="BP188" t="s">
        <v>495</v>
      </c>
      <c r="BQ188" s="492"/>
      <c r="BR188" t="str">
        <f t="shared" si="239"/>
        <v>Review of events and logs is periodically performed</v>
      </c>
      <c r="BS188" t="str">
        <f t="shared" si="202"/>
        <v>References</v>
      </c>
      <c r="BT188" t="str">
        <f t="shared" si="217"/>
        <v>3.3.6.RX</v>
      </c>
      <c r="BU188" t="str">
        <f>IF(AND(BQ188&lt;&gt;"",LEFT(BQ188,1)&lt;&gt;"#"),IF(LEFT(BQ188,1)="-",REPLACE(BQ188,1,1,tech!$H$2),BQ188),"")</f>
        <v/>
      </c>
      <c r="BV188" t="s">
        <v>495</v>
      </c>
      <c r="BW188" s="492"/>
      <c r="BX188" t="str">
        <f t="shared" si="240"/>
        <v>Incidents and exceptions handling</v>
      </c>
      <c r="BY188" t="str">
        <f t="shared" si="203"/>
        <v>References</v>
      </c>
      <c r="BZ188" t="str">
        <f t="shared" si="218"/>
        <v>3.4.3.RX</v>
      </c>
      <c r="CA188" t="str">
        <f>IF(AND(BW188&lt;&gt;"",LEFT(BW188,1)&lt;&gt;"#"),IF(LEFT(BW188,1)="-",REPLACE(BW188,1,1,tech!$H$2),BW188),"")</f>
        <v/>
      </c>
      <c r="CB188" t="s">
        <v>495</v>
      </c>
      <c r="CC188" s="492"/>
      <c r="CD188" t="str">
        <f t="shared" si="241"/>
        <v>Resources are periodically reviewed</v>
      </c>
      <c r="CE188" t="str">
        <f t="shared" si="204"/>
        <v>References</v>
      </c>
      <c r="CF188" t="str">
        <f t="shared" si="219"/>
        <v>4.1.4.RX</v>
      </c>
      <c r="CG188" t="str">
        <f>IF(AND(CC188&lt;&gt;"",LEFT(CC188,1)&lt;&gt;"#"),IF(LEFT(CC188,1)="-",REPLACE(CC188,1,1,tech!$H$2),CC188),"")</f>
        <v/>
      </c>
      <c r="CH188" t="s">
        <v>495</v>
      </c>
      <c r="CI188" s="492"/>
      <c r="CJ188" t="str">
        <f t="shared" si="242"/>
        <v>Periodically review knowledge</v>
      </c>
      <c r="CK188" t="str">
        <f t="shared" si="205"/>
        <v>References</v>
      </c>
      <c r="CL188" t="str">
        <f t="shared" si="220"/>
        <v>4.2.5.RX</v>
      </c>
      <c r="CM188" t="str">
        <f>IF(AND(CI188&lt;&gt;"",LEFT(CI188,1)&lt;&gt;"#"),IF(LEFT(CI188,1)="-",REPLACE(CI188,1,1,tech!$H$2),CI188),"")</f>
        <v/>
      </c>
      <c r="CN188" t="s">
        <v>495</v>
      </c>
      <c r="CO188" s="492"/>
      <c r="CP188" t="str">
        <f t="shared" si="243"/>
        <v>Timely communication of important information</v>
      </c>
      <c r="CQ188" t="str">
        <f t="shared" si="206"/>
        <v>References</v>
      </c>
      <c r="CR188" t="str">
        <f t="shared" si="221"/>
        <v>4.3.4.RX</v>
      </c>
      <c r="CS188" t="str">
        <f>IF(AND(CO188&lt;&gt;"",LEFT(CO188,1)&lt;&gt;"#"),IF(LEFT(CO188,1)="-",REPLACE(CO188,1,1,tech!$H$2),CO188),"")</f>
        <v/>
      </c>
      <c r="CT188" t="s">
        <v>495</v>
      </c>
    </row>
    <row r="189" spans="15:98" x14ac:dyDescent="0.25">
      <c r="O189" s="492"/>
      <c r="P189" t="str">
        <f t="shared" si="222"/>
        <v>Policies are periodically reviewed and updated</v>
      </c>
      <c r="Q189" t="str">
        <f t="shared" si="223"/>
        <v>References</v>
      </c>
      <c r="R189" t="str">
        <f t="shared" si="224"/>
        <v>1.2.5.RX</v>
      </c>
      <c r="S189" t="str">
        <f>IF(AND(O189&lt;&gt;"",LEFT(O189,1)&lt;&gt;"#"),IF(LEFT(O189,1)="-",REPLACE(O189,1,1,tech!$H$2),O189),"")</f>
        <v/>
      </c>
      <c r="T189" t="s">
        <v>495</v>
      </c>
      <c r="U189" s="492"/>
      <c r="V189" t="str">
        <f t="shared" si="225"/>
        <v>List of relevant laws, regulations, and standards, exist and is maintained</v>
      </c>
      <c r="W189" t="str">
        <f t="shared" si="226"/>
        <v>References</v>
      </c>
      <c r="X189" t="str">
        <f t="shared" si="227"/>
        <v>1.3.4.RX</v>
      </c>
      <c r="Y189" t="str">
        <f>IF(AND(U189&lt;&gt;"",LEFT(U189,1)&lt;&gt;"#"),IF(LEFT(U189,1)="-",REPLACE(U189,1,1,tech!$H$2),U189),"")</f>
        <v/>
      </c>
      <c r="Z189" t="s">
        <v>495</v>
      </c>
      <c r="AA189" s="492"/>
      <c r="AB189" t="str">
        <f t="shared" si="228"/>
        <v>Processes and procedures are reviewed and updated</v>
      </c>
      <c r="AC189" t="str">
        <f t="shared" si="229"/>
        <v>References</v>
      </c>
      <c r="AD189" t="str">
        <f t="shared" si="230"/>
        <v>1.4.5.RX</v>
      </c>
      <c r="AE189" t="str">
        <f>IF(AND(AA189&lt;&gt;"",LEFT(AA189,1)&lt;&gt;"#"),IF(LEFT(AA189,1)="-",REPLACE(AA189,1,1,tech!$H$2),AA189),"")</f>
        <v/>
      </c>
      <c r="AF189" t="s">
        <v>495</v>
      </c>
      <c r="AG189" s="492"/>
      <c r="AH189" t="str">
        <f t="shared" si="231"/>
        <v>Key management is periodically reviewed and updated</v>
      </c>
      <c r="AI189" t="str">
        <f t="shared" si="232"/>
        <v>References</v>
      </c>
      <c r="AJ189" t="str">
        <f t="shared" si="233"/>
        <v>2.1.6.RX</v>
      </c>
      <c r="AK189" t="str">
        <f>IF(AND(AG189&lt;&gt;"",LEFT(AG189,1)&lt;&gt;"#"),IF(LEFT(AG189,1)="-",REPLACE(AG189,1,1,tech!$H$2),AG189),"")</f>
        <v/>
      </c>
      <c r="AL189" t="s">
        <v>495</v>
      </c>
      <c r="AM189" s="492" t="s">
        <v>498</v>
      </c>
      <c r="AN189" t="str">
        <f t="shared" si="234"/>
        <v>Organizational PKI governance</v>
      </c>
      <c r="AO189" t="str">
        <f t="shared" si="197"/>
        <v>Guidance</v>
      </c>
      <c r="AP189" t="str">
        <f t="shared" si="212"/>
        <v>2.2.7.GX</v>
      </c>
      <c r="AQ189" t="str">
        <f>IF(AND(AM189&lt;&gt;"",LEFT(AM189,1)&lt;&gt;"#"),IF(LEFT(AM189,1)="-",REPLACE(AM189,1,1,tech!$H$2),AM189),"")</f>
        <v/>
      </c>
      <c r="AR189" t="s">
        <v>495</v>
      </c>
      <c r="AS189" s="492"/>
      <c r="AT189" t="str">
        <f t="shared" si="235"/>
        <v>Infrastructure activities are periodically reviewed</v>
      </c>
      <c r="AU189" t="str">
        <f t="shared" si="198"/>
        <v>References</v>
      </c>
      <c r="AV189" t="str">
        <f t="shared" si="213"/>
        <v>2.3.5.RX</v>
      </c>
      <c r="AW189" t="str">
        <f>IF(AND(AS189&lt;&gt;"",LEFT(AS189,1)&lt;&gt;"#"),IF(LEFT(AS189,1)="-",REPLACE(AS189,1,1,tech!$H$2),AS189),"")</f>
        <v/>
      </c>
      <c r="AX189" t="s">
        <v>495</v>
      </c>
      <c r="AY189" s="492"/>
      <c r="AZ189" t="str">
        <f t="shared" si="236"/>
        <v>Change management and agility is periodically reviewed</v>
      </c>
      <c r="BA189" t="str">
        <f t="shared" si="199"/>
        <v>References</v>
      </c>
      <c r="BB189" t="str">
        <f t="shared" si="214"/>
        <v>2.4.5.RX</v>
      </c>
      <c r="BC189" t="str">
        <f>IF(AND(AY189&lt;&gt;"",LEFT(AY189,1)&lt;&gt;"#"),IF(LEFT(AY189,1)="-",REPLACE(AY189,1,1,tech!$H$2),AY189),"")</f>
        <v/>
      </c>
      <c r="BD189" t="s">
        <v>495</v>
      </c>
      <c r="BE189" s="492"/>
      <c r="BF189" t="str">
        <f t="shared" si="237"/>
        <v>Continual review and improvement</v>
      </c>
      <c r="BG189" t="str">
        <f t="shared" si="200"/>
        <v>References</v>
      </c>
      <c r="BH189" t="str">
        <f t="shared" si="215"/>
        <v>3.1.6.RX</v>
      </c>
      <c r="BI189" t="str">
        <f>IF(AND(BE189&lt;&gt;"",LEFT(BE189,1)&lt;&gt;"#"),IF(LEFT(BE189,1)="-",REPLACE(BE189,1,1,tech!$H$2),BE189),"")</f>
        <v/>
      </c>
      <c r="BJ189" t="s">
        <v>495</v>
      </c>
      <c r="BK189" s="492"/>
      <c r="BL189" t="str">
        <f t="shared" si="238"/>
        <v>Adoption and application of open standards</v>
      </c>
      <c r="BM189" t="str">
        <f t="shared" si="201"/>
        <v>References</v>
      </c>
      <c r="BN189" t="str">
        <f t="shared" si="216"/>
        <v>3.2.3.RX</v>
      </c>
      <c r="BO189" t="str">
        <f>IF(AND(BK189&lt;&gt;"",LEFT(BK189,1)&lt;&gt;"#"),IF(LEFT(BK189,1)="-",REPLACE(BK189,1,1,tech!$H$2),BK189),"")</f>
        <v/>
      </c>
      <c r="BP189" t="s">
        <v>495</v>
      </c>
      <c r="BQ189" s="492"/>
      <c r="BR189" t="str">
        <f t="shared" si="239"/>
        <v>Review of events and logs is periodically performed</v>
      </c>
      <c r="BS189" t="str">
        <f t="shared" si="202"/>
        <v>References</v>
      </c>
      <c r="BT189" t="str">
        <f t="shared" si="217"/>
        <v>3.3.6.RX</v>
      </c>
      <c r="BU189" t="str">
        <f>IF(AND(BQ189&lt;&gt;"",LEFT(BQ189,1)&lt;&gt;"#"),IF(LEFT(BQ189,1)="-",REPLACE(BQ189,1,1,tech!$H$2),BQ189),"")</f>
        <v/>
      </c>
      <c r="BV189" t="s">
        <v>495</v>
      </c>
      <c r="BW189" s="492"/>
      <c r="BX189" t="str">
        <f t="shared" si="240"/>
        <v>Incidents and exceptions handling</v>
      </c>
      <c r="BY189" t="str">
        <f t="shared" si="203"/>
        <v>References</v>
      </c>
      <c r="BZ189" t="str">
        <f t="shared" si="218"/>
        <v>3.4.3.RX</v>
      </c>
      <c r="CA189" t="str">
        <f>IF(AND(BW189&lt;&gt;"",LEFT(BW189,1)&lt;&gt;"#"),IF(LEFT(BW189,1)="-",REPLACE(BW189,1,1,tech!$H$2),BW189),"")</f>
        <v/>
      </c>
      <c r="CB189" t="s">
        <v>495</v>
      </c>
      <c r="CC189" s="492"/>
      <c r="CD189" t="str">
        <f t="shared" si="241"/>
        <v>Resources are periodically reviewed</v>
      </c>
      <c r="CE189" t="str">
        <f t="shared" si="204"/>
        <v>References</v>
      </c>
      <c r="CF189" t="str">
        <f t="shared" si="219"/>
        <v>4.1.4.RX</v>
      </c>
      <c r="CG189" t="str">
        <f>IF(AND(CC189&lt;&gt;"",LEFT(CC189,1)&lt;&gt;"#"),IF(LEFT(CC189,1)="-",REPLACE(CC189,1,1,tech!$H$2),CC189),"")</f>
        <v/>
      </c>
      <c r="CH189" t="s">
        <v>495</v>
      </c>
      <c r="CI189" s="492"/>
      <c r="CJ189" t="str">
        <f t="shared" si="242"/>
        <v>Periodically review knowledge</v>
      </c>
      <c r="CK189" t="str">
        <f t="shared" si="205"/>
        <v>References</v>
      </c>
      <c r="CL189" t="str">
        <f t="shared" si="220"/>
        <v>4.2.5.RX</v>
      </c>
      <c r="CM189" t="str">
        <f>IF(AND(CI189&lt;&gt;"",LEFT(CI189,1)&lt;&gt;"#"),IF(LEFT(CI189,1)="-",REPLACE(CI189,1,1,tech!$H$2),CI189),"")</f>
        <v/>
      </c>
      <c r="CN189" t="s">
        <v>495</v>
      </c>
      <c r="CO189" s="492"/>
      <c r="CP189" t="str">
        <f t="shared" si="243"/>
        <v>Timely communication of important information</v>
      </c>
      <c r="CQ189" t="str">
        <f t="shared" si="206"/>
        <v>References</v>
      </c>
      <c r="CR189" t="str">
        <f t="shared" si="221"/>
        <v>4.3.4.RX</v>
      </c>
      <c r="CS189" t="str">
        <f>IF(AND(CO189&lt;&gt;"",LEFT(CO189,1)&lt;&gt;"#"),IF(LEFT(CO189,1)="-",REPLACE(CO189,1,1,tech!$H$2),CO189),"")</f>
        <v/>
      </c>
      <c r="CT189" t="s">
        <v>495</v>
      </c>
    </row>
    <row r="190" spans="15:98" x14ac:dyDescent="0.25">
      <c r="O190" s="492"/>
      <c r="P190" t="str">
        <f t="shared" si="222"/>
        <v>Policies are periodically reviewed and updated</v>
      </c>
      <c r="Q190" t="str">
        <f t="shared" si="223"/>
        <v>References</v>
      </c>
      <c r="R190" t="str">
        <f t="shared" si="224"/>
        <v>1.2.5.RX</v>
      </c>
      <c r="S190" t="str">
        <f>IF(AND(O190&lt;&gt;"",LEFT(O190,1)&lt;&gt;"#"),IF(LEFT(O190,1)="-",REPLACE(O190,1,1,tech!$H$2),O190),"")</f>
        <v/>
      </c>
      <c r="T190" t="s">
        <v>495</v>
      </c>
      <c r="U190" s="492"/>
      <c r="V190" t="str">
        <f t="shared" si="225"/>
        <v>List of relevant laws, regulations, and standards, exist and is maintained</v>
      </c>
      <c r="W190" t="str">
        <f t="shared" si="226"/>
        <v>References</v>
      </c>
      <c r="X190" t="str">
        <f t="shared" si="227"/>
        <v>1.3.4.RX</v>
      </c>
      <c r="Y190" t="str">
        <f>IF(AND(U190&lt;&gt;"",LEFT(U190,1)&lt;&gt;"#"),IF(LEFT(U190,1)="-",REPLACE(U190,1,1,tech!$H$2),U190),"")</f>
        <v/>
      </c>
      <c r="Z190" t="s">
        <v>495</v>
      </c>
      <c r="AA190" s="492"/>
      <c r="AB190" t="str">
        <f t="shared" si="228"/>
        <v>Processes and procedures are reviewed and updated</v>
      </c>
      <c r="AC190" t="str">
        <f t="shared" si="229"/>
        <v>References</v>
      </c>
      <c r="AD190" t="str">
        <f t="shared" si="230"/>
        <v>1.4.5.RX</v>
      </c>
      <c r="AE190" t="str">
        <f>IF(AND(AA190&lt;&gt;"",LEFT(AA190,1)&lt;&gt;"#"),IF(LEFT(AA190,1)="-",REPLACE(AA190,1,1,tech!$H$2),AA190),"")</f>
        <v/>
      </c>
      <c r="AF190" t="s">
        <v>495</v>
      </c>
      <c r="AG190" s="492"/>
      <c r="AH190" t="str">
        <f t="shared" si="231"/>
        <v>Key management is periodically reviewed and updated</v>
      </c>
      <c r="AI190" t="str">
        <f t="shared" si="232"/>
        <v>References</v>
      </c>
      <c r="AJ190" t="str">
        <f t="shared" si="233"/>
        <v>2.1.6.RX</v>
      </c>
      <c r="AK190" t="str">
        <f>IF(AND(AG190&lt;&gt;"",LEFT(AG190,1)&lt;&gt;"#"),IF(LEFT(AG190,1)="-",REPLACE(AG190,1,1,tech!$H$2),AG190),"")</f>
        <v/>
      </c>
      <c r="AL190" t="s">
        <v>495</v>
      </c>
      <c r="AM190" s="492"/>
      <c r="AN190" t="str">
        <f t="shared" si="234"/>
        <v>Organizational PKI governance</v>
      </c>
      <c r="AO190" t="str">
        <f t="shared" ref="AO190:AO200" si="244">IF(AND(LEFT(AM190,1)="#",IFERROR(LEN(_xlfn.TEXTBEFORE(AM190," "))=4,0)),_xlfn.TEXTAFTER(AM190," "),AO189)</f>
        <v>Guidance</v>
      </c>
      <c r="AP190" t="str">
        <f t="shared" si="212"/>
        <v>2.2.7.GX</v>
      </c>
      <c r="AQ190" t="str">
        <f>IF(AND(AM190&lt;&gt;"",LEFT(AM190,1)&lt;&gt;"#"),IF(LEFT(AM190,1)="-",REPLACE(AM190,1,1,tech!$H$2),AM190),"")</f>
        <v/>
      </c>
      <c r="AR190" t="s">
        <v>495</v>
      </c>
      <c r="AS190" s="492"/>
      <c r="AT190" t="str">
        <f t="shared" si="235"/>
        <v>Infrastructure activities are periodically reviewed</v>
      </c>
      <c r="AU190" t="str">
        <f t="shared" ref="AU190:AU230" si="245">IF(AND(LEFT(AS190,1)="#",IFERROR(LEN(_xlfn.TEXTBEFORE(AS190," "))=4,0)),_xlfn.TEXTAFTER(AS190," "),AU189)</f>
        <v>References</v>
      </c>
      <c r="AV190" t="str">
        <f t="shared" si="213"/>
        <v>2.3.5.RX</v>
      </c>
      <c r="AW190" t="str">
        <f>IF(AND(AS190&lt;&gt;"",LEFT(AS190,1)&lt;&gt;"#"),IF(LEFT(AS190,1)="-",REPLACE(AS190,1,1,tech!$H$2),AS190),"")</f>
        <v/>
      </c>
      <c r="AX190" t="s">
        <v>495</v>
      </c>
      <c r="AY190" s="492"/>
      <c r="AZ190" t="str">
        <f t="shared" si="236"/>
        <v>Change management and agility is periodically reviewed</v>
      </c>
      <c r="BA190" t="str">
        <f t="shared" ref="BA190:BA230" si="246">IF(AND(LEFT(AY190,1)="#",IFERROR(LEN(_xlfn.TEXTBEFORE(AY190," "))=4,0)),_xlfn.TEXTAFTER(AY190," "),BA189)</f>
        <v>References</v>
      </c>
      <c r="BB190" t="str">
        <f t="shared" si="214"/>
        <v>2.4.5.RX</v>
      </c>
      <c r="BC190" t="str">
        <f>IF(AND(AY190&lt;&gt;"",LEFT(AY190,1)&lt;&gt;"#"),IF(LEFT(AY190,1)="-",REPLACE(AY190,1,1,tech!$H$2),AY190),"")</f>
        <v/>
      </c>
      <c r="BD190" t="s">
        <v>495</v>
      </c>
      <c r="BE190" s="492"/>
      <c r="BF190" t="str">
        <f t="shared" si="237"/>
        <v>Continual review and improvement</v>
      </c>
      <c r="BG190" t="str">
        <f t="shared" ref="BG190:BG230" si="247">IF(AND(LEFT(BE190,1)="#",IFERROR(LEN(_xlfn.TEXTBEFORE(BE190," "))=4,0)),_xlfn.TEXTAFTER(BE190," "),BG189)</f>
        <v>References</v>
      </c>
      <c r="BH190" t="str">
        <f t="shared" si="215"/>
        <v>3.1.6.RX</v>
      </c>
      <c r="BI190" t="str">
        <f>IF(AND(BE190&lt;&gt;"",LEFT(BE190,1)&lt;&gt;"#"),IF(LEFT(BE190,1)="-",REPLACE(BE190,1,1,tech!$H$2),BE190),"")</f>
        <v/>
      </c>
      <c r="BJ190" t="s">
        <v>495</v>
      </c>
      <c r="BK190" s="492"/>
      <c r="BL190" t="str">
        <f t="shared" si="238"/>
        <v>Adoption and application of open standards</v>
      </c>
      <c r="BM190" t="str">
        <f t="shared" ref="BM190:BM230" si="248">IF(AND(LEFT(BK190,1)="#",IFERROR(LEN(_xlfn.TEXTBEFORE(BK190," "))=4,0)),_xlfn.TEXTAFTER(BK190," "),BM189)</f>
        <v>References</v>
      </c>
      <c r="BN190" t="str">
        <f t="shared" si="216"/>
        <v>3.2.3.RX</v>
      </c>
      <c r="BO190" t="str">
        <f>IF(AND(BK190&lt;&gt;"",LEFT(BK190,1)&lt;&gt;"#"),IF(LEFT(BK190,1)="-",REPLACE(BK190,1,1,tech!$H$2),BK190),"")</f>
        <v/>
      </c>
      <c r="BP190" t="s">
        <v>495</v>
      </c>
      <c r="BQ190" s="492"/>
      <c r="BR190" t="str">
        <f t="shared" si="239"/>
        <v>Review of events and logs is periodically performed</v>
      </c>
      <c r="BS190" t="str">
        <f t="shared" ref="BS190:BS230" si="249">IF(AND(LEFT(BQ190,1)="#",IFERROR(LEN(_xlfn.TEXTBEFORE(BQ190," "))=4,0)),_xlfn.TEXTAFTER(BQ190," "),BS189)</f>
        <v>References</v>
      </c>
      <c r="BT190" t="str">
        <f t="shared" si="217"/>
        <v>3.3.6.RX</v>
      </c>
      <c r="BU190" t="str">
        <f>IF(AND(BQ190&lt;&gt;"",LEFT(BQ190,1)&lt;&gt;"#"),IF(LEFT(BQ190,1)="-",REPLACE(BQ190,1,1,tech!$H$2),BQ190),"")</f>
        <v/>
      </c>
      <c r="BV190" t="s">
        <v>495</v>
      </c>
      <c r="BW190" s="492"/>
      <c r="BX190" t="str">
        <f t="shared" si="240"/>
        <v>Incidents and exceptions handling</v>
      </c>
      <c r="BY190" t="str">
        <f t="shared" ref="BY190:BY230" si="250">IF(AND(LEFT(BW190,1)="#",IFERROR(LEN(_xlfn.TEXTBEFORE(BW190," "))=4,0)),_xlfn.TEXTAFTER(BW190," "),BY189)</f>
        <v>References</v>
      </c>
      <c r="BZ190" t="str">
        <f t="shared" si="218"/>
        <v>3.4.3.RX</v>
      </c>
      <c r="CA190" t="str">
        <f>IF(AND(BW190&lt;&gt;"",LEFT(BW190,1)&lt;&gt;"#"),IF(LEFT(BW190,1)="-",REPLACE(BW190,1,1,tech!$H$2),BW190),"")</f>
        <v/>
      </c>
      <c r="CB190" t="s">
        <v>495</v>
      </c>
      <c r="CC190" s="492"/>
      <c r="CD190" t="str">
        <f t="shared" si="241"/>
        <v>Resources are periodically reviewed</v>
      </c>
      <c r="CE190" t="str">
        <f t="shared" ref="CE190:CE230" si="251">IF(AND(LEFT(CC190,1)="#",IFERROR(LEN(_xlfn.TEXTBEFORE(CC190," "))=4,0)),_xlfn.TEXTAFTER(CC190," "),CE189)</f>
        <v>References</v>
      </c>
      <c r="CF190" t="str">
        <f t="shared" si="219"/>
        <v>4.1.4.RX</v>
      </c>
      <c r="CG190" t="str">
        <f>IF(AND(CC190&lt;&gt;"",LEFT(CC190,1)&lt;&gt;"#"),IF(LEFT(CC190,1)="-",REPLACE(CC190,1,1,tech!$H$2),CC190),"")</f>
        <v/>
      </c>
      <c r="CH190" t="s">
        <v>495</v>
      </c>
      <c r="CI190" s="492"/>
      <c r="CJ190" t="str">
        <f t="shared" si="242"/>
        <v>Periodically review knowledge</v>
      </c>
      <c r="CK190" t="str">
        <f t="shared" ref="CK190:CK230" si="252">IF(AND(LEFT(CI190,1)="#",IFERROR(LEN(_xlfn.TEXTBEFORE(CI190," "))=4,0)),_xlfn.TEXTAFTER(CI190," "),CK189)</f>
        <v>References</v>
      </c>
      <c r="CL190" t="str">
        <f t="shared" si="220"/>
        <v>4.2.5.RX</v>
      </c>
      <c r="CM190" t="str">
        <f>IF(AND(CI190&lt;&gt;"",LEFT(CI190,1)&lt;&gt;"#"),IF(LEFT(CI190,1)="-",REPLACE(CI190,1,1,tech!$H$2),CI190),"")</f>
        <v/>
      </c>
      <c r="CN190" t="s">
        <v>495</v>
      </c>
      <c r="CO190" s="492"/>
      <c r="CP190" t="str">
        <f t="shared" si="243"/>
        <v>Timely communication of important information</v>
      </c>
      <c r="CQ190" t="str">
        <f t="shared" ref="CQ190:CQ230" si="253">IF(AND(LEFT(CO190,1)="#",IFERROR(LEN(_xlfn.TEXTBEFORE(CO190," "))=4,0)),_xlfn.TEXTAFTER(CO190," "),CQ189)</f>
        <v>References</v>
      </c>
      <c r="CR190" t="str">
        <f t="shared" si="221"/>
        <v>4.3.4.RX</v>
      </c>
      <c r="CS190" t="str">
        <f>IF(AND(CO190&lt;&gt;"",LEFT(CO190,1)&lt;&gt;"#"),IF(LEFT(CO190,1)="-",REPLACE(CO190,1,1,tech!$H$2),CO190),"")</f>
        <v/>
      </c>
      <c r="CT190" t="s">
        <v>495</v>
      </c>
    </row>
    <row r="191" spans="15:98" x14ac:dyDescent="0.25">
      <c r="O191" s="492"/>
      <c r="P191" t="str">
        <f t="shared" si="222"/>
        <v>Policies are periodically reviewed and updated</v>
      </c>
      <c r="Q191" t="str">
        <f t="shared" si="223"/>
        <v>References</v>
      </c>
      <c r="R191" t="str">
        <f t="shared" si="224"/>
        <v>1.2.5.RX</v>
      </c>
      <c r="S191" t="str">
        <f>IF(AND(O191&lt;&gt;"",LEFT(O191,1)&lt;&gt;"#"),IF(LEFT(O191,1)="-",REPLACE(O191,1,1,tech!$H$2),O191),"")</f>
        <v/>
      </c>
      <c r="T191" t="s">
        <v>495</v>
      </c>
      <c r="U191" s="492"/>
      <c r="V191" t="str">
        <f t="shared" si="225"/>
        <v>List of relevant laws, regulations, and standards, exist and is maintained</v>
      </c>
      <c r="W191" t="str">
        <f t="shared" si="226"/>
        <v>References</v>
      </c>
      <c r="X191" t="str">
        <f t="shared" si="227"/>
        <v>1.3.4.RX</v>
      </c>
      <c r="Y191" t="str">
        <f>IF(AND(U191&lt;&gt;"",LEFT(U191,1)&lt;&gt;"#"),IF(LEFT(U191,1)="-",REPLACE(U191,1,1,tech!$H$2),U191),"")</f>
        <v/>
      </c>
      <c r="Z191" t="s">
        <v>495</v>
      </c>
      <c r="AA191" s="492"/>
      <c r="AB191" t="str">
        <f t="shared" si="228"/>
        <v>Processes and procedures are reviewed and updated</v>
      </c>
      <c r="AC191" t="str">
        <f t="shared" si="229"/>
        <v>References</v>
      </c>
      <c r="AD191" t="str">
        <f t="shared" si="230"/>
        <v>1.4.5.RX</v>
      </c>
      <c r="AE191" t="str">
        <f>IF(AND(AA191&lt;&gt;"",LEFT(AA191,1)&lt;&gt;"#"),IF(LEFT(AA191,1)="-",REPLACE(AA191,1,1,tech!$H$2),AA191),"")</f>
        <v/>
      </c>
      <c r="AF191" t="s">
        <v>495</v>
      </c>
      <c r="AG191" s="492"/>
      <c r="AH191" t="str">
        <f t="shared" si="231"/>
        <v>Key management is periodically reviewed and updated</v>
      </c>
      <c r="AI191" t="str">
        <f t="shared" si="232"/>
        <v>References</v>
      </c>
      <c r="AJ191" t="str">
        <f t="shared" si="233"/>
        <v>2.1.6.RX</v>
      </c>
      <c r="AK191" t="str">
        <f>IF(AND(AG191&lt;&gt;"",LEFT(AG191,1)&lt;&gt;"#"),IF(LEFT(AG191,1)="-",REPLACE(AG191,1,1,tech!$H$2),AG191),"")</f>
        <v/>
      </c>
      <c r="AL191" t="s">
        <v>495</v>
      </c>
      <c r="AM191" s="492" t="s">
        <v>442</v>
      </c>
      <c r="AN191" t="str">
        <f t="shared" si="234"/>
        <v>Organizational PKI governance</v>
      </c>
      <c r="AO191" t="str">
        <f t="shared" si="244"/>
        <v>Guidance</v>
      </c>
      <c r="AP191" t="str">
        <f t="shared" si="212"/>
        <v>2.2.7.GY</v>
      </c>
      <c r="AQ191" t="str">
        <f>IF(AND(AM191&lt;&gt;"",LEFT(AM191,1)&lt;&gt;"#"),IF(LEFT(AM191,1)="-",REPLACE(AM191,1,1,tech!$H$2),AM191),"")</f>
        <v>Large organizations commonly have several PKI systems spread out in the organization. Some can be consolidated, but in many cases different PKI silos exists for good reasons. Having a central governance of PKIs across the organization will help to maintain best practices, ensure secure PKI operations, re-use PKI knowledge in the organization, ensure consistent profiles and avoid unnecessary duplication of effort.</v>
      </c>
      <c r="AR191" t="s">
        <v>495</v>
      </c>
      <c r="AS191" s="492"/>
      <c r="AT191" t="str">
        <f t="shared" si="235"/>
        <v>Infrastructure activities are periodically reviewed</v>
      </c>
      <c r="AU191" t="str">
        <f t="shared" si="245"/>
        <v>References</v>
      </c>
      <c r="AV191" t="str">
        <f t="shared" si="213"/>
        <v>2.3.5.RX</v>
      </c>
      <c r="AW191" t="str">
        <f>IF(AND(AS191&lt;&gt;"",LEFT(AS191,1)&lt;&gt;"#"),IF(LEFT(AS191,1)="-",REPLACE(AS191,1,1,tech!$H$2),AS191),"")</f>
        <v/>
      </c>
      <c r="AX191" t="s">
        <v>495</v>
      </c>
      <c r="AY191" s="492"/>
      <c r="AZ191" t="str">
        <f t="shared" si="236"/>
        <v>Change management and agility is periodically reviewed</v>
      </c>
      <c r="BA191" t="str">
        <f t="shared" si="246"/>
        <v>References</v>
      </c>
      <c r="BB191" t="str">
        <f t="shared" si="214"/>
        <v>2.4.5.RX</v>
      </c>
      <c r="BC191" t="str">
        <f>IF(AND(AY191&lt;&gt;"",LEFT(AY191,1)&lt;&gt;"#"),IF(LEFT(AY191,1)="-",REPLACE(AY191,1,1,tech!$H$2),AY191),"")</f>
        <v/>
      </c>
      <c r="BD191" t="s">
        <v>495</v>
      </c>
      <c r="BE191" s="492"/>
      <c r="BF191" t="str">
        <f t="shared" si="237"/>
        <v>Continual review and improvement</v>
      </c>
      <c r="BG191" t="str">
        <f t="shared" si="247"/>
        <v>References</v>
      </c>
      <c r="BH191" t="str">
        <f t="shared" si="215"/>
        <v>3.1.6.RX</v>
      </c>
      <c r="BI191" t="str">
        <f>IF(AND(BE191&lt;&gt;"",LEFT(BE191,1)&lt;&gt;"#"),IF(LEFT(BE191,1)="-",REPLACE(BE191,1,1,tech!$H$2),BE191),"")</f>
        <v/>
      </c>
      <c r="BJ191" t="s">
        <v>495</v>
      </c>
      <c r="BK191" s="492"/>
      <c r="BL191" t="str">
        <f t="shared" si="238"/>
        <v>Adoption and application of open standards</v>
      </c>
      <c r="BM191" t="str">
        <f t="shared" si="248"/>
        <v>References</v>
      </c>
      <c r="BN191" t="str">
        <f t="shared" si="216"/>
        <v>3.2.3.RX</v>
      </c>
      <c r="BO191" t="str">
        <f>IF(AND(BK191&lt;&gt;"",LEFT(BK191,1)&lt;&gt;"#"),IF(LEFT(BK191,1)="-",REPLACE(BK191,1,1,tech!$H$2),BK191),"")</f>
        <v/>
      </c>
      <c r="BP191" t="s">
        <v>495</v>
      </c>
      <c r="BQ191" s="492"/>
      <c r="BR191" t="str">
        <f t="shared" si="239"/>
        <v>Review of events and logs is periodically performed</v>
      </c>
      <c r="BS191" t="str">
        <f t="shared" si="249"/>
        <v>References</v>
      </c>
      <c r="BT191" t="str">
        <f t="shared" si="217"/>
        <v>3.3.6.RX</v>
      </c>
      <c r="BU191" t="str">
        <f>IF(AND(BQ191&lt;&gt;"",LEFT(BQ191,1)&lt;&gt;"#"),IF(LEFT(BQ191,1)="-",REPLACE(BQ191,1,1,tech!$H$2),BQ191),"")</f>
        <v/>
      </c>
      <c r="BV191" t="s">
        <v>495</v>
      </c>
      <c r="BW191" s="492"/>
      <c r="BX191" t="str">
        <f t="shared" si="240"/>
        <v>Incidents and exceptions handling</v>
      </c>
      <c r="BY191" t="str">
        <f t="shared" si="250"/>
        <v>References</v>
      </c>
      <c r="BZ191" t="str">
        <f t="shared" si="218"/>
        <v>3.4.3.RX</v>
      </c>
      <c r="CA191" t="str">
        <f>IF(AND(BW191&lt;&gt;"",LEFT(BW191,1)&lt;&gt;"#"),IF(LEFT(BW191,1)="-",REPLACE(BW191,1,1,tech!$H$2),BW191),"")</f>
        <v/>
      </c>
      <c r="CB191" t="s">
        <v>495</v>
      </c>
      <c r="CC191" s="492"/>
      <c r="CD191" t="str">
        <f t="shared" si="241"/>
        <v>Resources are periodically reviewed</v>
      </c>
      <c r="CE191" t="str">
        <f t="shared" si="251"/>
        <v>References</v>
      </c>
      <c r="CF191" t="str">
        <f t="shared" si="219"/>
        <v>4.1.4.RX</v>
      </c>
      <c r="CG191" t="str">
        <f>IF(AND(CC191&lt;&gt;"",LEFT(CC191,1)&lt;&gt;"#"),IF(LEFT(CC191,1)="-",REPLACE(CC191,1,1,tech!$H$2),CC191),"")</f>
        <v/>
      </c>
      <c r="CH191" t="s">
        <v>495</v>
      </c>
      <c r="CI191" s="492"/>
      <c r="CJ191" t="str">
        <f t="shared" si="242"/>
        <v>Periodically review knowledge</v>
      </c>
      <c r="CK191" t="str">
        <f t="shared" si="252"/>
        <v>References</v>
      </c>
      <c r="CL191" t="str">
        <f t="shared" si="220"/>
        <v>4.2.5.RX</v>
      </c>
      <c r="CM191" t="str">
        <f>IF(AND(CI191&lt;&gt;"",LEFT(CI191,1)&lt;&gt;"#"),IF(LEFT(CI191,1)="-",REPLACE(CI191,1,1,tech!$H$2),CI191),"")</f>
        <v/>
      </c>
      <c r="CN191" t="s">
        <v>495</v>
      </c>
      <c r="CO191" s="492"/>
      <c r="CP191" t="str">
        <f t="shared" si="243"/>
        <v>Timely communication of important information</v>
      </c>
      <c r="CQ191" t="str">
        <f t="shared" si="253"/>
        <v>References</v>
      </c>
      <c r="CR191" t="str">
        <f t="shared" si="221"/>
        <v>4.3.4.RX</v>
      </c>
      <c r="CS191" t="str">
        <f>IF(AND(CO191&lt;&gt;"",LEFT(CO191,1)&lt;&gt;"#"),IF(LEFT(CO191,1)="-",REPLACE(CO191,1,1,tech!$H$2),CO191),"")</f>
        <v/>
      </c>
      <c r="CT191" t="s">
        <v>495</v>
      </c>
    </row>
    <row r="192" spans="15:98" x14ac:dyDescent="0.25">
      <c r="O192" s="492"/>
      <c r="P192" t="str">
        <f t="shared" si="222"/>
        <v>Policies are periodically reviewed and updated</v>
      </c>
      <c r="Q192" t="str">
        <f t="shared" si="223"/>
        <v>References</v>
      </c>
      <c r="R192" t="str">
        <f t="shared" si="224"/>
        <v>1.2.5.RX</v>
      </c>
      <c r="S192" t="str">
        <f>IF(AND(O192&lt;&gt;"",LEFT(O192,1)&lt;&gt;"#"),IF(LEFT(O192,1)="-",REPLACE(O192,1,1,tech!$H$2),O192),"")</f>
        <v/>
      </c>
      <c r="T192" t="s">
        <v>495</v>
      </c>
      <c r="U192" s="492"/>
      <c r="V192" t="str">
        <f t="shared" si="225"/>
        <v>List of relevant laws, regulations, and standards, exist and is maintained</v>
      </c>
      <c r="W192" t="str">
        <f t="shared" si="226"/>
        <v>References</v>
      </c>
      <c r="X192" t="str">
        <f t="shared" si="227"/>
        <v>1.3.4.RX</v>
      </c>
      <c r="Y192" t="str">
        <f>IF(AND(U192&lt;&gt;"",LEFT(U192,1)&lt;&gt;"#"),IF(LEFT(U192,1)="-",REPLACE(U192,1,1,tech!$H$2),U192),"")</f>
        <v/>
      </c>
      <c r="Z192" t="s">
        <v>495</v>
      </c>
      <c r="AA192" s="492"/>
      <c r="AB192" t="str">
        <f t="shared" si="228"/>
        <v>Processes and procedures are reviewed and updated</v>
      </c>
      <c r="AC192" t="str">
        <f t="shared" si="229"/>
        <v>References</v>
      </c>
      <c r="AD192" t="str">
        <f t="shared" si="230"/>
        <v>1.4.5.RX</v>
      </c>
      <c r="AE192" t="str">
        <f>IF(AND(AA192&lt;&gt;"",LEFT(AA192,1)&lt;&gt;"#"),IF(LEFT(AA192,1)="-",REPLACE(AA192,1,1,tech!$H$2),AA192),"")</f>
        <v/>
      </c>
      <c r="AF192" t="s">
        <v>495</v>
      </c>
      <c r="AG192" s="492"/>
      <c r="AH192" t="str">
        <f t="shared" si="231"/>
        <v>Key management is periodically reviewed and updated</v>
      </c>
      <c r="AI192" t="str">
        <f t="shared" si="232"/>
        <v>References</v>
      </c>
      <c r="AJ192" t="str">
        <f t="shared" si="233"/>
        <v>2.1.6.RX</v>
      </c>
      <c r="AK192" t="str">
        <f>IF(AND(AG192&lt;&gt;"",LEFT(AG192,1)&lt;&gt;"#"),IF(LEFT(AG192,1)="-",REPLACE(AG192,1,1,tech!$H$2),AG192),"")</f>
        <v/>
      </c>
      <c r="AL192" t="s">
        <v>495</v>
      </c>
      <c r="AM192" s="492"/>
      <c r="AN192" t="str">
        <f t="shared" si="234"/>
        <v>Organizational PKI governance</v>
      </c>
      <c r="AO192" t="str">
        <f t="shared" si="244"/>
        <v>Guidance</v>
      </c>
      <c r="AP192" t="str">
        <f t="shared" si="212"/>
        <v>2.2.7.GX</v>
      </c>
      <c r="AQ192" t="str">
        <f>IF(AND(AM192&lt;&gt;"",LEFT(AM192,1)&lt;&gt;"#"),IF(LEFT(AM192,1)="-",REPLACE(AM192,1,1,tech!$H$2),AM192),"")</f>
        <v/>
      </c>
      <c r="AR192" t="s">
        <v>495</v>
      </c>
      <c r="AS192" s="492"/>
      <c r="AT192" t="str">
        <f t="shared" si="235"/>
        <v>Infrastructure activities are periodically reviewed</v>
      </c>
      <c r="AU192" t="str">
        <f t="shared" si="245"/>
        <v>References</v>
      </c>
      <c r="AV192" t="str">
        <f t="shared" si="213"/>
        <v>2.3.5.RX</v>
      </c>
      <c r="AW192" t="str">
        <f>IF(AND(AS192&lt;&gt;"",LEFT(AS192,1)&lt;&gt;"#"),IF(LEFT(AS192,1)="-",REPLACE(AS192,1,1,tech!$H$2),AS192),"")</f>
        <v/>
      </c>
      <c r="AX192" t="s">
        <v>495</v>
      </c>
      <c r="AY192" s="492"/>
      <c r="AZ192" t="str">
        <f t="shared" si="236"/>
        <v>Change management and agility is periodically reviewed</v>
      </c>
      <c r="BA192" t="str">
        <f t="shared" si="246"/>
        <v>References</v>
      </c>
      <c r="BB192" t="str">
        <f t="shared" si="214"/>
        <v>2.4.5.RX</v>
      </c>
      <c r="BC192" t="str">
        <f>IF(AND(AY192&lt;&gt;"",LEFT(AY192,1)&lt;&gt;"#"),IF(LEFT(AY192,1)="-",REPLACE(AY192,1,1,tech!$H$2),AY192),"")</f>
        <v/>
      </c>
      <c r="BD192" t="s">
        <v>495</v>
      </c>
      <c r="BE192" s="492"/>
      <c r="BF192" t="str">
        <f t="shared" si="237"/>
        <v>Continual review and improvement</v>
      </c>
      <c r="BG192" t="str">
        <f t="shared" si="247"/>
        <v>References</v>
      </c>
      <c r="BH192" t="str">
        <f t="shared" si="215"/>
        <v>3.1.6.RX</v>
      </c>
      <c r="BI192" t="str">
        <f>IF(AND(BE192&lt;&gt;"",LEFT(BE192,1)&lt;&gt;"#"),IF(LEFT(BE192,1)="-",REPLACE(BE192,1,1,tech!$H$2),BE192),"")</f>
        <v/>
      </c>
      <c r="BJ192" t="s">
        <v>495</v>
      </c>
      <c r="BK192" s="492"/>
      <c r="BL192" t="str">
        <f t="shared" si="238"/>
        <v>Adoption and application of open standards</v>
      </c>
      <c r="BM192" t="str">
        <f t="shared" si="248"/>
        <v>References</v>
      </c>
      <c r="BN192" t="str">
        <f t="shared" si="216"/>
        <v>3.2.3.RX</v>
      </c>
      <c r="BO192" t="str">
        <f>IF(AND(BK192&lt;&gt;"",LEFT(BK192,1)&lt;&gt;"#"),IF(LEFT(BK192,1)="-",REPLACE(BK192,1,1,tech!$H$2),BK192),"")</f>
        <v/>
      </c>
      <c r="BP192" t="s">
        <v>495</v>
      </c>
      <c r="BQ192" s="492"/>
      <c r="BR192" t="str">
        <f t="shared" si="239"/>
        <v>Review of events and logs is periodically performed</v>
      </c>
      <c r="BS192" t="str">
        <f t="shared" si="249"/>
        <v>References</v>
      </c>
      <c r="BT192" t="str">
        <f t="shared" si="217"/>
        <v>3.3.6.RX</v>
      </c>
      <c r="BU192" t="str">
        <f>IF(AND(BQ192&lt;&gt;"",LEFT(BQ192,1)&lt;&gt;"#"),IF(LEFT(BQ192,1)="-",REPLACE(BQ192,1,1,tech!$H$2),BQ192),"")</f>
        <v/>
      </c>
      <c r="BV192" t="s">
        <v>495</v>
      </c>
      <c r="BW192" s="492"/>
      <c r="BX192" t="str">
        <f t="shared" si="240"/>
        <v>Incidents and exceptions handling</v>
      </c>
      <c r="BY192" t="str">
        <f t="shared" si="250"/>
        <v>References</v>
      </c>
      <c r="BZ192" t="str">
        <f t="shared" si="218"/>
        <v>3.4.3.RX</v>
      </c>
      <c r="CA192" t="str">
        <f>IF(AND(BW192&lt;&gt;"",LEFT(BW192,1)&lt;&gt;"#"),IF(LEFT(BW192,1)="-",REPLACE(BW192,1,1,tech!$H$2),BW192),"")</f>
        <v/>
      </c>
      <c r="CB192" t="s">
        <v>495</v>
      </c>
      <c r="CC192" s="492"/>
      <c r="CD192" t="str">
        <f t="shared" si="241"/>
        <v>Resources are periodically reviewed</v>
      </c>
      <c r="CE192" t="str">
        <f t="shared" si="251"/>
        <v>References</v>
      </c>
      <c r="CF192" t="str">
        <f t="shared" si="219"/>
        <v>4.1.4.RX</v>
      </c>
      <c r="CG192" t="str">
        <f>IF(AND(CC192&lt;&gt;"",LEFT(CC192,1)&lt;&gt;"#"),IF(LEFT(CC192,1)="-",REPLACE(CC192,1,1,tech!$H$2),CC192),"")</f>
        <v/>
      </c>
      <c r="CH192" t="s">
        <v>495</v>
      </c>
      <c r="CI192" s="492"/>
      <c r="CJ192" t="str">
        <f t="shared" si="242"/>
        <v>Periodically review knowledge</v>
      </c>
      <c r="CK192" t="str">
        <f t="shared" si="252"/>
        <v>References</v>
      </c>
      <c r="CL192" t="str">
        <f t="shared" si="220"/>
        <v>4.2.5.RX</v>
      </c>
      <c r="CM192" t="str">
        <f>IF(AND(CI192&lt;&gt;"",LEFT(CI192,1)&lt;&gt;"#"),IF(LEFT(CI192,1)="-",REPLACE(CI192,1,1,tech!$H$2),CI192),"")</f>
        <v/>
      </c>
      <c r="CN192" t="s">
        <v>495</v>
      </c>
      <c r="CO192" s="492"/>
      <c r="CP192" t="str">
        <f t="shared" si="243"/>
        <v>Timely communication of important information</v>
      </c>
      <c r="CQ192" t="str">
        <f t="shared" si="253"/>
        <v>References</v>
      </c>
      <c r="CR192" t="str">
        <f t="shared" si="221"/>
        <v>4.3.4.RX</v>
      </c>
      <c r="CS192" t="str">
        <f>IF(AND(CO192&lt;&gt;"",LEFT(CO192,1)&lt;&gt;"#"),IF(LEFT(CO192,1)="-",REPLACE(CO192,1,1,tech!$H$2),CO192),"")</f>
        <v/>
      </c>
      <c r="CT192" t="s">
        <v>495</v>
      </c>
    </row>
    <row r="193" spans="15:98" x14ac:dyDescent="0.25">
      <c r="O193" s="492"/>
      <c r="P193" t="str">
        <f t="shared" si="222"/>
        <v>Policies are periodically reviewed and updated</v>
      </c>
      <c r="Q193" t="str">
        <f t="shared" si="223"/>
        <v>References</v>
      </c>
      <c r="R193" t="str">
        <f t="shared" si="224"/>
        <v>1.2.5.RX</v>
      </c>
      <c r="S193" t="str">
        <f>IF(AND(O193&lt;&gt;"",LEFT(O193,1)&lt;&gt;"#"),IF(LEFT(O193,1)="-",REPLACE(O193,1,1,tech!$H$2),O193),"")</f>
        <v/>
      </c>
      <c r="T193" t="s">
        <v>495</v>
      </c>
      <c r="U193" s="492"/>
      <c r="V193" t="str">
        <f t="shared" si="225"/>
        <v>List of relevant laws, regulations, and standards, exist and is maintained</v>
      </c>
      <c r="W193" t="str">
        <f t="shared" si="226"/>
        <v>References</v>
      </c>
      <c r="X193" t="str">
        <f t="shared" si="227"/>
        <v>1.3.4.RX</v>
      </c>
      <c r="Y193" t="str">
        <f>IF(AND(U193&lt;&gt;"",LEFT(U193,1)&lt;&gt;"#"),IF(LEFT(U193,1)="-",REPLACE(U193,1,1,tech!$H$2),U193),"")</f>
        <v/>
      </c>
      <c r="Z193" t="s">
        <v>495</v>
      </c>
      <c r="AA193" s="492"/>
      <c r="AB193" t="str">
        <f t="shared" si="228"/>
        <v>Processes and procedures are reviewed and updated</v>
      </c>
      <c r="AC193" t="str">
        <f t="shared" si="229"/>
        <v>References</v>
      </c>
      <c r="AD193" t="str">
        <f t="shared" si="230"/>
        <v>1.4.5.RX</v>
      </c>
      <c r="AE193" t="str">
        <f>IF(AND(AA193&lt;&gt;"",LEFT(AA193,1)&lt;&gt;"#"),IF(LEFT(AA193,1)="-",REPLACE(AA193,1,1,tech!$H$2),AA193),"")</f>
        <v/>
      </c>
      <c r="AF193" t="s">
        <v>495</v>
      </c>
      <c r="AG193" s="492"/>
      <c r="AH193" t="str">
        <f t="shared" si="231"/>
        <v>Key management is periodically reviewed and updated</v>
      </c>
      <c r="AI193" t="str">
        <f t="shared" si="232"/>
        <v>References</v>
      </c>
      <c r="AJ193" t="str">
        <f t="shared" si="233"/>
        <v>2.1.6.RX</v>
      </c>
      <c r="AK193" t="str">
        <f>IF(AND(AG193&lt;&gt;"",LEFT(AG193,1)&lt;&gt;"#"),IF(LEFT(AG193,1)="-",REPLACE(AG193,1,1,tech!$H$2),AG193),"")</f>
        <v/>
      </c>
      <c r="AL193" t="s">
        <v>495</v>
      </c>
      <c r="AM193" s="492" t="s">
        <v>501</v>
      </c>
      <c r="AN193" t="str">
        <f t="shared" si="234"/>
        <v>Organizational PKI governance</v>
      </c>
      <c r="AO193" t="str">
        <f t="shared" si="244"/>
        <v>Assessment</v>
      </c>
      <c r="AP193" t="str">
        <f t="shared" si="212"/>
        <v>2.2.7.AX</v>
      </c>
      <c r="AQ193" t="str">
        <f>IF(AND(AM193&lt;&gt;"",LEFT(AM193,1)&lt;&gt;"#"),IF(LEFT(AM193,1)="-",REPLACE(AM193,1,1,tech!$H$2),AM193),"")</f>
        <v/>
      </c>
      <c r="AR193" t="s">
        <v>495</v>
      </c>
      <c r="AS193" s="492"/>
      <c r="AT193" t="str">
        <f t="shared" si="235"/>
        <v>Infrastructure activities are periodically reviewed</v>
      </c>
      <c r="AU193" t="str">
        <f t="shared" si="245"/>
        <v>References</v>
      </c>
      <c r="AV193" t="str">
        <f t="shared" si="213"/>
        <v>2.3.5.RX</v>
      </c>
      <c r="AW193" t="str">
        <f>IF(AND(AS193&lt;&gt;"",LEFT(AS193,1)&lt;&gt;"#"),IF(LEFT(AS193,1)="-",REPLACE(AS193,1,1,tech!$H$2),AS193),"")</f>
        <v/>
      </c>
      <c r="AX193" t="s">
        <v>495</v>
      </c>
      <c r="AY193" s="492"/>
      <c r="AZ193" t="str">
        <f t="shared" si="236"/>
        <v>Change management and agility is periodically reviewed</v>
      </c>
      <c r="BA193" t="str">
        <f t="shared" si="246"/>
        <v>References</v>
      </c>
      <c r="BB193" t="str">
        <f t="shared" si="214"/>
        <v>2.4.5.RX</v>
      </c>
      <c r="BC193" t="str">
        <f>IF(AND(AY193&lt;&gt;"",LEFT(AY193,1)&lt;&gt;"#"),IF(LEFT(AY193,1)="-",REPLACE(AY193,1,1,tech!$H$2),AY193),"")</f>
        <v/>
      </c>
      <c r="BD193" t="s">
        <v>495</v>
      </c>
      <c r="BE193" s="492"/>
      <c r="BF193" t="str">
        <f t="shared" si="237"/>
        <v>Continual review and improvement</v>
      </c>
      <c r="BG193" t="str">
        <f t="shared" si="247"/>
        <v>References</v>
      </c>
      <c r="BH193" t="str">
        <f t="shared" si="215"/>
        <v>3.1.6.RX</v>
      </c>
      <c r="BI193" t="str">
        <f>IF(AND(BE193&lt;&gt;"",LEFT(BE193,1)&lt;&gt;"#"),IF(LEFT(BE193,1)="-",REPLACE(BE193,1,1,tech!$H$2),BE193),"")</f>
        <v/>
      </c>
      <c r="BJ193" t="s">
        <v>495</v>
      </c>
      <c r="BK193" s="492"/>
      <c r="BL193" t="str">
        <f t="shared" si="238"/>
        <v>Adoption and application of open standards</v>
      </c>
      <c r="BM193" t="str">
        <f t="shared" si="248"/>
        <v>References</v>
      </c>
      <c r="BN193" t="str">
        <f t="shared" si="216"/>
        <v>3.2.3.RX</v>
      </c>
      <c r="BO193" t="str">
        <f>IF(AND(BK193&lt;&gt;"",LEFT(BK193,1)&lt;&gt;"#"),IF(LEFT(BK193,1)="-",REPLACE(BK193,1,1,tech!$H$2),BK193),"")</f>
        <v/>
      </c>
      <c r="BP193" t="s">
        <v>495</v>
      </c>
      <c r="BQ193" s="492"/>
      <c r="BR193" t="str">
        <f t="shared" si="239"/>
        <v>Review of events and logs is periodically performed</v>
      </c>
      <c r="BS193" t="str">
        <f t="shared" si="249"/>
        <v>References</v>
      </c>
      <c r="BT193" t="str">
        <f t="shared" si="217"/>
        <v>3.3.6.RX</v>
      </c>
      <c r="BU193" t="str">
        <f>IF(AND(BQ193&lt;&gt;"",LEFT(BQ193,1)&lt;&gt;"#"),IF(LEFT(BQ193,1)="-",REPLACE(BQ193,1,1,tech!$H$2),BQ193),"")</f>
        <v/>
      </c>
      <c r="BV193" t="s">
        <v>495</v>
      </c>
      <c r="BW193" s="492"/>
      <c r="BX193" t="str">
        <f t="shared" si="240"/>
        <v>Incidents and exceptions handling</v>
      </c>
      <c r="BY193" t="str">
        <f t="shared" si="250"/>
        <v>References</v>
      </c>
      <c r="BZ193" t="str">
        <f t="shared" si="218"/>
        <v>3.4.3.RX</v>
      </c>
      <c r="CA193" t="str">
        <f>IF(AND(BW193&lt;&gt;"",LEFT(BW193,1)&lt;&gt;"#"),IF(LEFT(BW193,1)="-",REPLACE(BW193,1,1,tech!$H$2),BW193),"")</f>
        <v/>
      </c>
      <c r="CB193" t="s">
        <v>495</v>
      </c>
      <c r="CC193" s="492"/>
      <c r="CD193" t="str">
        <f t="shared" si="241"/>
        <v>Resources are periodically reviewed</v>
      </c>
      <c r="CE193" t="str">
        <f t="shared" si="251"/>
        <v>References</v>
      </c>
      <c r="CF193" t="str">
        <f t="shared" si="219"/>
        <v>4.1.4.RX</v>
      </c>
      <c r="CG193" t="str">
        <f>IF(AND(CC193&lt;&gt;"",LEFT(CC193,1)&lt;&gt;"#"),IF(LEFT(CC193,1)="-",REPLACE(CC193,1,1,tech!$H$2),CC193),"")</f>
        <v/>
      </c>
      <c r="CH193" t="s">
        <v>495</v>
      </c>
      <c r="CI193" s="492"/>
      <c r="CJ193" t="str">
        <f t="shared" si="242"/>
        <v>Periodically review knowledge</v>
      </c>
      <c r="CK193" t="str">
        <f t="shared" si="252"/>
        <v>References</v>
      </c>
      <c r="CL193" t="str">
        <f t="shared" si="220"/>
        <v>4.2.5.RX</v>
      </c>
      <c r="CM193" t="str">
        <f>IF(AND(CI193&lt;&gt;"",LEFT(CI193,1)&lt;&gt;"#"),IF(LEFT(CI193,1)="-",REPLACE(CI193,1,1,tech!$H$2),CI193),"")</f>
        <v/>
      </c>
      <c r="CN193" t="s">
        <v>495</v>
      </c>
      <c r="CO193" s="492"/>
      <c r="CP193" t="str">
        <f t="shared" si="243"/>
        <v>Timely communication of important information</v>
      </c>
      <c r="CQ193" t="str">
        <f t="shared" si="253"/>
        <v>References</v>
      </c>
      <c r="CR193" t="str">
        <f t="shared" si="221"/>
        <v>4.3.4.RX</v>
      </c>
      <c r="CS193" t="str">
        <f>IF(AND(CO193&lt;&gt;"",LEFT(CO193,1)&lt;&gt;"#"),IF(LEFT(CO193,1)="-",REPLACE(CO193,1,1,tech!$H$2),CO193),"")</f>
        <v/>
      </c>
      <c r="CT193" t="s">
        <v>495</v>
      </c>
    </row>
    <row r="194" spans="15:98" x14ac:dyDescent="0.25">
      <c r="O194" s="492"/>
      <c r="P194" t="str">
        <f t="shared" si="222"/>
        <v>Policies are periodically reviewed and updated</v>
      </c>
      <c r="Q194" t="str">
        <f t="shared" si="223"/>
        <v>References</v>
      </c>
      <c r="R194" t="str">
        <f t="shared" si="224"/>
        <v>1.2.5.RX</v>
      </c>
      <c r="S194" t="str">
        <f>IF(AND(O194&lt;&gt;"",LEFT(O194,1)&lt;&gt;"#"),IF(LEFT(O194,1)="-",REPLACE(O194,1,1,tech!$H$2),O194),"")</f>
        <v/>
      </c>
      <c r="T194" t="s">
        <v>495</v>
      </c>
      <c r="U194" s="492"/>
      <c r="V194" t="str">
        <f t="shared" si="225"/>
        <v>List of relevant laws, regulations, and standards, exist and is maintained</v>
      </c>
      <c r="W194" t="str">
        <f t="shared" si="226"/>
        <v>References</v>
      </c>
      <c r="X194" t="str">
        <f t="shared" si="227"/>
        <v>1.3.4.RX</v>
      </c>
      <c r="Y194" t="str">
        <f>IF(AND(U194&lt;&gt;"",LEFT(U194,1)&lt;&gt;"#"),IF(LEFT(U194,1)="-",REPLACE(U194,1,1,tech!$H$2),U194),"")</f>
        <v/>
      </c>
      <c r="Z194" t="s">
        <v>495</v>
      </c>
      <c r="AA194" s="492"/>
      <c r="AB194" t="str">
        <f t="shared" si="228"/>
        <v>Processes and procedures are reviewed and updated</v>
      </c>
      <c r="AC194" t="str">
        <f t="shared" si="229"/>
        <v>References</v>
      </c>
      <c r="AD194" t="str">
        <f t="shared" si="230"/>
        <v>1.4.5.RX</v>
      </c>
      <c r="AE194" t="str">
        <f>IF(AND(AA194&lt;&gt;"",LEFT(AA194,1)&lt;&gt;"#"),IF(LEFT(AA194,1)="-",REPLACE(AA194,1,1,tech!$H$2),AA194),"")</f>
        <v/>
      </c>
      <c r="AF194" t="s">
        <v>495</v>
      </c>
      <c r="AG194" s="492"/>
      <c r="AH194" t="str">
        <f t="shared" si="231"/>
        <v>Key management is periodically reviewed and updated</v>
      </c>
      <c r="AI194" t="str">
        <f t="shared" si="232"/>
        <v>References</v>
      </c>
      <c r="AJ194" t="str">
        <f t="shared" si="233"/>
        <v>2.1.6.RX</v>
      </c>
      <c r="AK194" t="str">
        <f>IF(AND(AG194&lt;&gt;"",LEFT(AG194,1)&lt;&gt;"#"),IF(LEFT(AG194,1)="-",REPLACE(AG194,1,1,tech!$H$2),AG194),"")</f>
        <v/>
      </c>
      <c r="AL194" t="s">
        <v>495</v>
      </c>
      <c r="AM194" s="492"/>
      <c r="AN194" t="str">
        <f t="shared" si="234"/>
        <v>Organizational PKI governance</v>
      </c>
      <c r="AO194" t="str">
        <f t="shared" si="244"/>
        <v>Assessment</v>
      </c>
      <c r="AP194" t="str">
        <f t="shared" si="212"/>
        <v>2.2.7.AX</v>
      </c>
      <c r="AQ194" t="str">
        <f>IF(AND(AM194&lt;&gt;"",LEFT(AM194,1)&lt;&gt;"#"),IF(LEFT(AM194,1)="-",REPLACE(AM194,1,1,tech!$H$2),AM194),"")</f>
        <v/>
      </c>
      <c r="AR194" t="s">
        <v>495</v>
      </c>
      <c r="AS194" s="492"/>
      <c r="AT194" t="str">
        <f t="shared" si="235"/>
        <v>Infrastructure activities are periodically reviewed</v>
      </c>
      <c r="AU194" t="str">
        <f t="shared" si="245"/>
        <v>References</v>
      </c>
      <c r="AV194" t="str">
        <f t="shared" si="213"/>
        <v>2.3.5.RX</v>
      </c>
      <c r="AW194" t="str">
        <f>IF(AND(AS194&lt;&gt;"",LEFT(AS194,1)&lt;&gt;"#"),IF(LEFT(AS194,1)="-",REPLACE(AS194,1,1,tech!$H$2),AS194),"")</f>
        <v/>
      </c>
      <c r="AX194" t="s">
        <v>495</v>
      </c>
      <c r="AY194" s="492"/>
      <c r="AZ194" t="str">
        <f t="shared" si="236"/>
        <v>Change management and agility is periodically reviewed</v>
      </c>
      <c r="BA194" t="str">
        <f t="shared" si="246"/>
        <v>References</v>
      </c>
      <c r="BB194" t="str">
        <f t="shared" si="214"/>
        <v>2.4.5.RX</v>
      </c>
      <c r="BC194" t="str">
        <f>IF(AND(AY194&lt;&gt;"",LEFT(AY194,1)&lt;&gt;"#"),IF(LEFT(AY194,1)="-",REPLACE(AY194,1,1,tech!$H$2),AY194),"")</f>
        <v/>
      </c>
      <c r="BD194" t="s">
        <v>495</v>
      </c>
      <c r="BE194" s="492"/>
      <c r="BF194" t="str">
        <f t="shared" si="237"/>
        <v>Continual review and improvement</v>
      </c>
      <c r="BG194" t="str">
        <f t="shared" si="247"/>
        <v>References</v>
      </c>
      <c r="BH194" t="str">
        <f t="shared" si="215"/>
        <v>3.1.6.RX</v>
      </c>
      <c r="BI194" t="str">
        <f>IF(AND(BE194&lt;&gt;"",LEFT(BE194,1)&lt;&gt;"#"),IF(LEFT(BE194,1)="-",REPLACE(BE194,1,1,tech!$H$2),BE194),"")</f>
        <v/>
      </c>
      <c r="BJ194" t="s">
        <v>495</v>
      </c>
      <c r="BK194" s="492"/>
      <c r="BL194" t="str">
        <f t="shared" si="238"/>
        <v>Adoption and application of open standards</v>
      </c>
      <c r="BM194" t="str">
        <f t="shared" si="248"/>
        <v>References</v>
      </c>
      <c r="BN194" t="str">
        <f t="shared" si="216"/>
        <v>3.2.3.RX</v>
      </c>
      <c r="BO194" t="str">
        <f>IF(AND(BK194&lt;&gt;"",LEFT(BK194,1)&lt;&gt;"#"),IF(LEFT(BK194,1)="-",REPLACE(BK194,1,1,tech!$H$2),BK194),"")</f>
        <v/>
      </c>
      <c r="BP194" t="s">
        <v>495</v>
      </c>
      <c r="BQ194" s="492"/>
      <c r="BR194" t="str">
        <f t="shared" si="239"/>
        <v>Review of events and logs is periodically performed</v>
      </c>
      <c r="BS194" t="str">
        <f t="shared" si="249"/>
        <v>References</v>
      </c>
      <c r="BT194" t="str">
        <f t="shared" si="217"/>
        <v>3.3.6.RX</v>
      </c>
      <c r="BU194" t="str">
        <f>IF(AND(BQ194&lt;&gt;"",LEFT(BQ194,1)&lt;&gt;"#"),IF(LEFT(BQ194,1)="-",REPLACE(BQ194,1,1,tech!$H$2),BQ194),"")</f>
        <v/>
      </c>
      <c r="BV194" t="s">
        <v>495</v>
      </c>
      <c r="BW194" s="492"/>
      <c r="BX194" t="str">
        <f t="shared" si="240"/>
        <v>Incidents and exceptions handling</v>
      </c>
      <c r="BY194" t="str">
        <f t="shared" si="250"/>
        <v>References</v>
      </c>
      <c r="BZ194" t="str">
        <f t="shared" si="218"/>
        <v>3.4.3.RX</v>
      </c>
      <c r="CA194" t="str">
        <f>IF(AND(BW194&lt;&gt;"",LEFT(BW194,1)&lt;&gt;"#"),IF(LEFT(BW194,1)="-",REPLACE(BW194,1,1,tech!$H$2),BW194),"")</f>
        <v/>
      </c>
      <c r="CB194" t="s">
        <v>495</v>
      </c>
      <c r="CC194" s="492"/>
      <c r="CD194" t="str">
        <f t="shared" si="241"/>
        <v>Resources are periodically reviewed</v>
      </c>
      <c r="CE194" t="str">
        <f t="shared" si="251"/>
        <v>References</v>
      </c>
      <c r="CF194" t="str">
        <f t="shared" si="219"/>
        <v>4.1.4.RX</v>
      </c>
      <c r="CG194" t="str">
        <f>IF(AND(CC194&lt;&gt;"",LEFT(CC194,1)&lt;&gt;"#"),IF(LEFT(CC194,1)="-",REPLACE(CC194,1,1,tech!$H$2),CC194),"")</f>
        <v/>
      </c>
      <c r="CH194" t="s">
        <v>495</v>
      </c>
      <c r="CI194" s="492"/>
      <c r="CJ194" t="str">
        <f t="shared" si="242"/>
        <v>Periodically review knowledge</v>
      </c>
      <c r="CK194" t="str">
        <f t="shared" si="252"/>
        <v>References</v>
      </c>
      <c r="CL194" t="str">
        <f t="shared" si="220"/>
        <v>4.2.5.RX</v>
      </c>
      <c r="CM194" t="str">
        <f>IF(AND(CI194&lt;&gt;"",LEFT(CI194,1)&lt;&gt;"#"),IF(LEFT(CI194,1)="-",REPLACE(CI194,1,1,tech!$H$2),CI194),"")</f>
        <v/>
      </c>
      <c r="CN194" t="s">
        <v>495</v>
      </c>
      <c r="CO194" s="492"/>
      <c r="CP194" t="str">
        <f t="shared" si="243"/>
        <v>Timely communication of important information</v>
      </c>
      <c r="CQ194" t="str">
        <f t="shared" si="253"/>
        <v>References</v>
      </c>
      <c r="CR194" t="str">
        <f t="shared" si="221"/>
        <v>4.3.4.RX</v>
      </c>
      <c r="CS194" t="str">
        <f>IF(AND(CO194&lt;&gt;"",LEFT(CO194,1)&lt;&gt;"#"),IF(LEFT(CO194,1)="-",REPLACE(CO194,1,1,tech!$H$2),CO194),"")</f>
        <v/>
      </c>
      <c r="CT194" t="s">
        <v>495</v>
      </c>
    </row>
    <row r="195" spans="15:98" x14ac:dyDescent="0.25">
      <c r="O195" s="492"/>
      <c r="P195" t="str">
        <f t="shared" si="222"/>
        <v>Policies are periodically reviewed and updated</v>
      </c>
      <c r="Q195" t="str">
        <f t="shared" si="223"/>
        <v>References</v>
      </c>
      <c r="R195" t="str">
        <f t="shared" si="224"/>
        <v>1.2.5.RX</v>
      </c>
      <c r="S195" t="str">
        <f>IF(AND(O195&lt;&gt;"",LEFT(O195,1)&lt;&gt;"#"),IF(LEFT(O195,1)="-",REPLACE(O195,1,1,tech!$H$2),O195),"")</f>
        <v/>
      </c>
      <c r="T195" t="s">
        <v>495</v>
      </c>
      <c r="U195" s="492"/>
      <c r="V195" t="str">
        <f t="shared" si="225"/>
        <v>List of relevant laws, regulations, and standards, exist and is maintained</v>
      </c>
      <c r="W195" t="str">
        <f t="shared" si="226"/>
        <v>References</v>
      </c>
      <c r="X195" t="str">
        <f t="shared" si="227"/>
        <v>1.3.4.RX</v>
      </c>
      <c r="Y195" t="str">
        <f>IF(AND(U195&lt;&gt;"",LEFT(U195,1)&lt;&gt;"#"),IF(LEFT(U195,1)="-",REPLACE(U195,1,1,tech!$H$2),U195),"")</f>
        <v/>
      </c>
      <c r="Z195" t="s">
        <v>495</v>
      </c>
      <c r="AA195" s="492"/>
      <c r="AB195" t="str">
        <f t="shared" si="228"/>
        <v>Processes and procedures are reviewed and updated</v>
      </c>
      <c r="AC195" t="str">
        <f t="shared" si="229"/>
        <v>References</v>
      </c>
      <c r="AD195" t="str">
        <f t="shared" si="230"/>
        <v>1.4.5.RX</v>
      </c>
      <c r="AE195" t="str">
        <f>IF(AND(AA195&lt;&gt;"",LEFT(AA195,1)&lt;&gt;"#"),IF(LEFT(AA195,1)="-",REPLACE(AA195,1,1,tech!$H$2),AA195),"")</f>
        <v/>
      </c>
      <c r="AF195" t="s">
        <v>495</v>
      </c>
      <c r="AG195" s="492"/>
      <c r="AH195" t="str">
        <f t="shared" si="231"/>
        <v>Key management is periodically reviewed and updated</v>
      </c>
      <c r="AI195" t="str">
        <f t="shared" si="232"/>
        <v>References</v>
      </c>
      <c r="AJ195" t="str">
        <f t="shared" si="233"/>
        <v>2.1.6.RX</v>
      </c>
      <c r="AK195" t="str">
        <f>IF(AND(AG195&lt;&gt;"",LEFT(AG195,1)&lt;&gt;"#"),IF(LEFT(AG195,1)="-",REPLACE(AG195,1,1,tech!$H$2),AG195),"")</f>
        <v/>
      </c>
      <c r="AL195" t="s">
        <v>495</v>
      </c>
      <c r="AM195" s="492" t="s">
        <v>872</v>
      </c>
      <c r="AN195" t="str">
        <f t="shared" si="234"/>
        <v>Organizational PKI governance</v>
      </c>
      <c r="AO195" t="str">
        <f t="shared" si="244"/>
        <v>Assessment</v>
      </c>
      <c r="AP195" t="str">
        <f t="shared" si="212"/>
        <v>2.2.7.AY</v>
      </c>
      <c r="AQ195" t="str">
        <f>IF(AND(AM195&lt;&gt;"",LEFT(AM195,1)&lt;&gt;"#"),IF(LEFT(AM195,1)="-",REPLACE(AM195,1,1,tech!$H$2),AM195),"")</f>
        <v>* Documented PKIs used in the organization</v>
      </c>
      <c r="AR195" t="s">
        <v>495</v>
      </c>
      <c r="AS195" s="492"/>
      <c r="AT195" t="str">
        <f t="shared" si="235"/>
        <v>Infrastructure activities are periodically reviewed</v>
      </c>
      <c r="AU195" t="str">
        <f t="shared" si="245"/>
        <v>References</v>
      </c>
      <c r="AV195" t="str">
        <f t="shared" si="213"/>
        <v>2.3.5.RX</v>
      </c>
      <c r="AW195" t="str">
        <f>IF(AND(AS195&lt;&gt;"",LEFT(AS195,1)&lt;&gt;"#"),IF(LEFT(AS195,1)="-",REPLACE(AS195,1,1,tech!$H$2),AS195),"")</f>
        <v/>
      </c>
      <c r="AX195" t="s">
        <v>495</v>
      </c>
      <c r="AY195" s="492"/>
      <c r="AZ195" t="str">
        <f t="shared" si="236"/>
        <v>Change management and agility is periodically reviewed</v>
      </c>
      <c r="BA195" t="str">
        <f t="shared" si="246"/>
        <v>References</v>
      </c>
      <c r="BB195" t="str">
        <f t="shared" si="214"/>
        <v>2.4.5.RX</v>
      </c>
      <c r="BC195" t="str">
        <f>IF(AND(AY195&lt;&gt;"",LEFT(AY195,1)&lt;&gt;"#"),IF(LEFT(AY195,1)="-",REPLACE(AY195,1,1,tech!$H$2),AY195),"")</f>
        <v/>
      </c>
      <c r="BD195" t="s">
        <v>495</v>
      </c>
      <c r="BE195" s="492"/>
      <c r="BF195" t="str">
        <f t="shared" si="237"/>
        <v>Continual review and improvement</v>
      </c>
      <c r="BG195" t="str">
        <f t="shared" si="247"/>
        <v>References</v>
      </c>
      <c r="BH195" t="str">
        <f t="shared" si="215"/>
        <v>3.1.6.RX</v>
      </c>
      <c r="BI195" t="str">
        <f>IF(AND(BE195&lt;&gt;"",LEFT(BE195,1)&lt;&gt;"#"),IF(LEFT(BE195,1)="-",REPLACE(BE195,1,1,tech!$H$2),BE195),"")</f>
        <v/>
      </c>
      <c r="BJ195" t="s">
        <v>495</v>
      </c>
      <c r="BK195" s="492"/>
      <c r="BL195" t="str">
        <f t="shared" si="238"/>
        <v>Adoption and application of open standards</v>
      </c>
      <c r="BM195" t="str">
        <f t="shared" si="248"/>
        <v>References</v>
      </c>
      <c r="BN195" t="str">
        <f t="shared" si="216"/>
        <v>3.2.3.RX</v>
      </c>
      <c r="BO195" t="str">
        <f>IF(AND(BK195&lt;&gt;"",LEFT(BK195,1)&lt;&gt;"#"),IF(LEFT(BK195,1)="-",REPLACE(BK195,1,1,tech!$H$2),BK195),"")</f>
        <v/>
      </c>
      <c r="BP195" t="s">
        <v>495</v>
      </c>
      <c r="BQ195" s="492"/>
      <c r="BR195" t="str">
        <f t="shared" si="239"/>
        <v>Review of events and logs is periodically performed</v>
      </c>
      <c r="BS195" t="str">
        <f t="shared" si="249"/>
        <v>References</v>
      </c>
      <c r="BT195" t="str">
        <f t="shared" si="217"/>
        <v>3.3.6.RX</v>
      </c>
      <c r="BU195" t="str">
        <f>IF(AND(BQ195&lt;&gt;"",LEFT(BQ195,1)&lt;&gt;"#"),IF(LEFT(BQ195,1)="-",REPLACE(BQ195,1,1,tech!$H$2),BQ195),"")</f>
        <v/>
      </c>
      <c r="BV195" t="s">
        <v>495</v>
      </c>
      <c r="BW195" s="492"/>
      <c r="BX195" t="str">
        <f t="shared" si="240"/>
        <v>Incidents and exceptions handling</v>
      </c>
      <c r="BY195" t="str">
        <f t="shared" si="250"/>
        <v>References</v>
      </c>
      <c r="BZ195" t="str">
        <f t="shared" si="218"/>
        <v>3.4.3.RX</v>
      </c>
      <c r="CA195" t="str">
        <f>IF(AND(BW195&lt;&gt;"",LEFT(BW195,1)&lt;&gt;"#"),IF(LEFT(BW195,1)="-",REPLACE(BW195,1,1,tech!$H$2),BW195),"")</f>
        <v/>
      </c>
      <c r="CB195" t="s">
        <v>495</v>
      </c>
      <c r="CC195" s="492"/>
      <c r="CD195" t="str">
        <f t="shared" si="241"/>
        <v>Resources are periodically reviewed</v>
      </c>
      <c r="CE195" t="str">
        <f t="shared" si="251"/>
        <v>References</v>
      </c>
      <c r="CF195" t="str">
        <f t="shared" si="219"/>
        <v>4.1.4.RX</v>
      </c>
      <c r="CG195" t="str">
        <f>IF(AND(CC195&lt;&gt;"",LEFT(CC195,1)&lt;&gt;"#"),IF(LEFT(CC195,1)="-",REPLACE(CC195,1,1,tech!$H$2),CC195),"")</f>
        <v/>
      </c>
      <c r="CH195" t="s">
        <v>495</v>
      </c>
      <c r="CI195" s="492"/>
      <c r="CJ195" t="str">
        <f t="shared" si="242"/>
        <v>Periodically review knowledge</v>
      </c>
      <c r="CK195" t="str">
        <f t="shared" si="252"/>
        <v>References</v>
      </c>
      <c r="CL195" t="str">
        <f t="shared" si="220"/>
        <v>4.2.5.RX</v>
      </c>
      <c r="CM195" t="str">
        <f>IF(AND(CI195&lt;&gt;"",LEFT(CI195,1)&lt;&gt;"#"),IF(LEFT(CI195,1)="-",REPLACE(CI195,1,1,tech!$H$2),CI195),"")</f>
        <v/>
      </c>
      <c r="CN195" t="s">
        <v>495</v>
      </c>
      <c r="CO195" s="492"/>
      <c r="CP195" t="str">
        <f t="shared" si="243"/>
        <v>Timely communication of important information</v>
      </c>
      <c r="CQ195" t="str">
        <f t="shared" si="253"/>
        <v>References</v>
      </c>
      <c r="CR195" t="str">
        <f t="shared" si="221"/>
        <v>4.3.4.RX</v>
      </c>
      <c r="CS195" t="str">
        <f>IF(AND(CO195&lt;&gt;"",LEFT(CO195,1)&lt;&gt;"#"),IF(LEFT(CO195,1)="-",REPLACE(CO195,1,1,tech!$H$2),CO195),"")</f>
        <v/>
      </c>
      <c r="CT195" t="s">
        <v>495</v>
      </c>
    </row>
    <row r="196" spans="15:98" x14ac:dyDescent="0.25">
      <c r="O196" s="492"/>
      <c r="P196" t="str">
        <f t="shared" si="222"/>
        <v>Policies are periodically reviewed and updated</v>
      </c>
      <c r="Q196" t="str">
        <f t="shared" si="223"/>
        <v>References</v>
      </c>
      <c r="R196" t="str">
        <f t="shared" si="224"/>
        <v>1.2.5.RX</v>
      </c>
      <c r="S196" t="str">
        <f>IF(AND(O196&lt;&gt;"",LEFT(O196,1)&lt;&gt;"#"),IF(LEFT(O196,1)="-",REPLACE(O196,1,1,tech!$H$2),O196),"")</f>
        <v/>
      </c>
      <c r="T196" t="s">
        <v>495</v>
      </c>
      <c r="U196" s="492"/>
      <c r="V196" t="str">
        <f t="shared" si="225"/>
        <v>List of relevant laws, regulations, and standards, exist and is maintained</v>
      </c>
      <c r="W196" t="str">
        <f t="shared" si="226"/>
        <v>References</v>
      </c>
      <c r="X196" t="str">
        <f t="shared" si="227"/>
        <v>1.3.4.RX</v>
      </c>
      <c r="Y196" t="str">
        <f>IF(AND(U196&lt;&gt;"",LEFT(U196,1)&lt;&gt;"#"),IF(LEFT(U196,1)="-",REPLACE(U196,1,1,tech!$H$2),U196),"")</f>
        <v/>
      </c>
      <c r="Z196" t="s">
        <v>495</v>
      </c>
      <c r="AA196" s="492"/>
      <c r="AB196" t="str">
        <f t="shared" si="228"/>
        <v>Processes and procedures are reviewed and updated</v>
      </c>
      <c r="AC196" t="str">
        <f t="shared" si="229"/>
        <v>References</v>
      </c>
      <c r="AD196" t="str">
        <f t="shared" si="230"/>
        <v>1.4.5.RX</v>
      </c>
      <c r="AE196" t="str">
        <f>IF(AND(AA196&lt;&gt;"",LEFT(AA196,1)&lt;&gt;"#"),IF(LEFT(AA196,1)="-",REPLACE(AA196,1,1,tech!$H$2),AA196),"")</f>
        <v/>
      </c>
      <c r="AF196" t="s">
        <v>495</v>
      </c>
      <c r="AG196" s="492"/>
      <c r="AH196" t="str">
        <f t="shared" si="231"/>
        <v>Key management is periodically reviewed and updated</v>
      </c>
      <c r="AI196" t="str">
        <f t="shared" si="232"/>
        <v>References</v>
      </c>
      <c r="AJ196" t="str">
        <f t="shared" si="233"/>
        <v>2.1.6.RX</v>
      </c>
      <c r="AK196" t="str">
        <f>IF(AND(AG196&lt;&gt;"",LEFT(AG196,1)&lt;&gt;"#"),IF(LEFT(AG196,1)="-",REPLACE(AG196,1,1,tech!$H$2),AG196),"")</f>
        <v/>
      </c>
      <c r="AL196" t="s">
        <v>495</v>
      </c>
      <c r="AM196" s="492" t="s">
        <v>873</v>
      </c>
      <c r="AN196" t="str">
        <f t="shared" si="234"/>
        <v>Organizational PKI governance</v>
      </c>
      <c r="AO196" t="str">
        <f t="shared" si="244"/>
        <v>Assessment</v>
      </c>
      <c r="AP196" t="str">
        <f t="shared" si="212"/>
        <v>2.2.7.AY</v>
      </c>
      <c r="AQ196" t="str">
        <f>IF(AND(AM196&lt;&gt;"",LEFT(AM196,1)&lt;&gt;"#"),IF(LEFT(AM196,1)="-",REPLACE(AM196,1,1,tech!$H$2),AM196),"")</f>
        <v xml:space="preserve">  * Different PKI technologies used</v>
      </c>
      <c r="AR196" t="s">
        <v>495</v>
      </c>
      <c r="AS196" s="492"/>
      <c r="AT196" t="str">
        <f t="shared" si="235"/>
        <v>Infrastructure activities are periodically reviewed</v>
      </c>
      <c r="AU196" t="str">
        <f t="shared" si="245"/>
        <v>References</v>
      </c>
      <c r="AV196" t="str">
        <f t="shared" si="213"/>
        <v>2.3.5.RX</v>
      </c>
      <c r="AW196" t="str">
        <f>IF(AND(AS196&lt;&gt;"",LEFT(AS196,1)&lt;&gt;"#"),IF(LEFT(AS196,1)="-",REPLACE(AS196,1,1,tech!$H$2),AS196),"")</f>
        <v/>
      </c>
      <c r="AX196" t="s">
        <v>495</v>
      </c>
      <c r="AY196" s="492"/>
      <c r="AZ196" t="str">
        <f t="shared" si="236"/>
        <v>Change management and agility is periodically reviewed</v>
      </c>
      <c r="BA196" t="str">
        <f t="shared" si="246"/>
        <v>References</v>
      </c>
      <c r="BB196" t="str">
        <f t="shared" si="214"/>
        <v>2.4.5.RX</v>
      </c>
      <c r="BC196" t="str">
        <f>IF(AND(AY196&lt;&gt;"",LEFT(AY196,1)&lt;&gt;"#"),IF(LEFT(AY196,1)="-",REPLACE(AY196,1,1,tech!$H$2),AY196),"")</f>
        <v/>
      </c>
      <c r="BD196" t="s">
        <v>495</v>
      </c>
      <c r="BE196" s="492"/>
      <c r="BF196" t="str">
        <f t="shared" si="237"/>
        <v>Continual review and improvement</v>
      </c>
      <c r="BG196" t="str">
        <f t="shared" si="247"/>
        <v>References</v>
      </c>
      <c r="BH196" t="str">
        <f t="shared" si="215"/>
        <v>3.1.6.RX</v>
      </c>
      <c r="BI196" t="str">
        <f>IF(AND(BE196&lt;&gt;"",LEFT(BE196,1)&lt;&gt;"#"),IF(LEFT(BE196,1)="-",REPLACE(BE196,1,1,tech!$H$2),BE196),"")</f>
        <v/>
      </c>
      <c r="BJ196" t="s">
        <v>495</v>
      </c>
      <c r="BK196" s="492"/>
      <c r="BL196" t="str">
        <f t="shared" si="238"/>
        <v>Adoption and application of open standards</v>
      </c>
      <c r="BM196" t="str">
        <f t="shared" si="248"/>
        <v>References</v>
      </c>
      <c r="BN196" t="str">
        <f t="shared" si="216"/>
        <v>3.2.3.RX</v>
      </c>
      <c r="BO196" t="str">
        <f>IF(AND(BK196&lt;&gt;"",LEFT(BK196,1)&lt;&gt;"#"),IF(LEFT(BK196,1)="-",REPLACE(BK196,1,1,tech!$H$2),BK196),"")</f>
        <v/>
      </c>
      <c r="BP196" t="s">
        <v>495</v>
      </c>
      <c r="BQ196" s="492"/>
      <c r="BR196" t="str">
        <f t="shared" si="239"/>
        <v>Review of events and logs is periodically performed</v>
      </c>
      <c r="BS196" t="str">
        <f t="shared" si="249"/>
        <v>References</v>
      </c>
      <c r="BT196" t="str">
        <f t="shared" si="217"/>
        <v>3.3.6.RX</v>
      </c>
      <c r="BU196" t="str">
        <f>IF(AND(BQ196&lt;&gt;"",LEFT(BQ196,1)&lt;&gt;"#"),IF(LEFT(BQ196,1)="-",REPLACE(BQ196,1,1,tech!$H$2),BQ196),"")</f>
        <v/>
      </c>
      <c r="BV196" t="s">
        <v>495</v>
      </c>
      <c r="BW196" s="492"/>
      <c r="BX196" t="str">
        <f t="shared" si="240"/>
        <v>Incidents and exceptions handling</v>
      </c>
      <c r="BY196" t="str">
        <f t="shared" si="250"/>
        <v>References</v>
      </c>
      <c r="BZ196" t="str">
        <f t="shared" si="218"/>
        <v>3.4.3.RX</v>
      </c>
      <c r="CA196" t="str">
        <f>IF(AND(BW196&lt;&gt;"",LEFT(BW196,1)&lt;&gt;"#"),IF(LEFT(BW196,1)="-",REPLACE(BW196,1,1,tech!$H$2),BW196),"")</f>
        <v/>
      </c>
      <c r="CB196" t="s">
        <v>495</v>
      </c>
      <c r="CC196" s="492"/>
      <c r="CD196" t="str">
        <f t="shared" si="241"/>
        <v>Resources are periodically reviewed</v>
      </c>
      <c r="CE196" t="str">
        <f t="shared" si="251"/>
        <v>References</v>
      </c>
      <c r="CF196" t="str">
        <f t="shared" si="219"/>
        <v>4.1.4.RX</v>
      </c>
      <c r="CG196" t="str">
        <f>IF(AND(CC196&lt;&gt;"",LEFT(CC196,1)&lt;&gt;"#"),IF(LEFT(CC196,1)="-",REPLACE(CC196,1,1,tech!$H$2),CC196),"")</f>
        <v/>
      </c>
      <c r="CH196" t="s">
        <v>495</v>
      </c>
      <c r="CI196" s="492"/>
      <c r="CJ196" t="str">
        <f t="shared" si="242"/>
        <v>Periodically review knowledge</v>
      </c>
      <c r="CK196" t="str">
        <f t="shared" si="252"/>
        <v>References</v>
      </c>
      <c r="CL196" t="str">
        <f t="shared" si="220"/>
        <v>4.2.5.RX</v>
      </c>
      <c r="CM196" t="str">
        <f>IF(AND(CI196&lt;&gt;"",LEFT(CI196,1)&lt;&gt;"#"),IF(LEFT(CI196,1)="-",REPLACE(CI196,1,1,tech!$H$2),CI196),"")</f>
        <v/>
      </c>
      <c r="CN196" t="s">
        <v>495</v>
      </c>
      <c r="CO196" s="492"/>
      <c r="CP196" t="str">
        <f t="shared" si="243"/>
        <v>Timely communication of important information</v>
      </c>
      <c r="CQ196" t="str">
        <f t="shared" si="253"/>
        <v>References</v>
      </c>
      <c r="CR196" t="str">
        <f t="shared" si="221"/>
        <v>4.3.4.RX</v>
      </c>
      <c r="CS196" t="str">
        <f>IF(AND(CO196&lt;&gt;"",LEFT(CO196,1)&lt;&gt;"#"),IF(LEFT(CO196,1)="-",REPLACE(CO196,1,1,tech!$H$2),CO196),"")</f>
        <v/>
      </c>
      <c r="CT196" t="s">
        <v>495</v>
      </c>
    </row>
    <row r="197" spans="15:98" x14ac:dyDescent="0.25">
      <c r="O197" s="492"/>
      <c r="P197" t="str">
        <f t="shared" si="222"/>
        <v>Policies are periodically reviewed and updated</v>
      </c>
      <c r="Q197" t="str">
        <f t="shared" si="223"/>
        <v>References</v>
      </c>
      <c r="R197" t="str">
        <f t="shared" si="224"/>
        <v>1.2.5.RX</v>
      </c>
      <c r="S197" t="str">
        <f>IF(AND(O197&lt;&gt;"",LEFT(O197,1)&lt;&gt;"#"),IF(LEFT(O197,1)="-",REPLACE(O197,1,1,tech!$H$2),O197),"")</f>
        <v/>
      </c>
      <c r="T197" t="s">
        <v>495</v>
      </c>
      <c r="U197" s="492"/>
      <c r="V197" t="str">
        <f t="shared" si="225"/>
        <v>List of relevant laws, regulations, and standards, exist and is maintained</v>
      </c>
      <c r="W197" t="str">
        <f t="shared" si="226"/>
        <v>References</v>
      </c>
      <c r="X197" t="str">
        <f t="shared" si="227"/>
        <v>1.3.4.RX</v>
      </c>
      <c r="Y197" t="str">
        <f>IF(AND(U197&lt;&gt;"",LEFT(U197,1)&lt;&gt;"#"),IF(LEFT(U197,1)="-",REPLACE(U197,1,1,tech!$H$2),U197),"")</f>
        <v/>
      </c>
      <c r="Z197" t="s">
        <v>495</v>
      </c>
      <c r="AA197" s="492"/>
      <c r="AB197" t="str">
        <f t="shared" si="228"/>
        <v>Processes and procedures are reviewed and updated</v>
      </c>
      <c r="AC197" t="str">
        <f t="shared" si="229"/>
        <v>References</v>
      </c>
      <c r="AD197" t="str">
        <f t="shared" si="230"/>
        <v>1.4.5.RX</v>
      </c>
      <c r="AE197" t="str">
        <f>IF(AND(AA197&lt;&gt;"",LEFT(AA197,1)&lt;&gt;"#"),IF(LEFT(AA197,1)="-",REPLACE(AA197,1,1,tech!$H$2),AA197),"")</f>
        <v/>
      </c>
      <c r="AF197" t="s">
        <v>495</v>
      </c>
      <c r="AG197" s="492"/>
      <c r="AH197" t="str">
        <f t="shared" si="231"/>
        <v>Key management is periodically reviewed and updated</v>
      </c>
      <c r="AI197" t="str">
        <f t="shared" si="232"/>
        <v>References</v>
      </c>
      <c r="AJ197" t="str">
        <f t="shared" si="233"/>
        <v>2.1.6.RX</v>
      </c>
      <c r="AK197" t="str">
        <f>IF(AND(AG197&lt;&gt;"",LEFT(AG197,1)&lt;&gt;"#"),IF(LEFT(AG197,1)="-",REPLACE(AG197,1,1,tech!$H$2),AG197),"")</f>
        <v/>
      </c>
      <c r="AL197" t="s">
        <v>495</v>
      </c>
      <c r="AM197" s="492" t="s">
        <v>874</v>
      </c>
      <c r="AN197" t="str">
        <f t="shared" si="234"/>
        <v>Organizational PKI governance</v>
      </c>
      <c r="AO197" t="str">
        <f t="shared" si="244"/>
        <v>Assessment</v>
      </c>
      <c r="AP197" t="str">
        <f t="shared" si="212"/>
        <v>2.2.7.AY</v>
      </c>
      <c r="AQ197" t="str">
        <f>IF(AND(AM197&lt;&gt;"",LEFT(AM197,1)&lt;&gt;"#"),IF(LEFT(AM197,1)="-",REPLACE(AM197,1,1,tech!$H$2),AM197),"")</f>
        <v xml:space="preserve">  * Installed PKI instances</v>
      </c>
      <c r="AR197" t="s">
        <v>495</v>
      </c>
      <c r="AS197" s="492"/>
      <c r="AT197" t="str">
        <f t="shared" si="235"/>
        <v>Infrastructure activities are periodically reviewed</v>
      </c>
      <c r="AU197" t="str">
        <f t="shared" si="245"/>
        <v>References</v>
      </c>
      <c r="AV197" t="str">
        <f t="shared" si="213"/>
        <v>2.3.5.RX</v>
      </c>
      <c r="AW197" t="str">
        <f>IF(AND(AS197&lt;&gt;"",LEFT(AS197,1)&lt;&gt;"#"),IF(LEFT(AS197,1)="-",REPLACE(AS197,1,1,tech!$H$2),AS197),"")</f>
        <v/>
      </c>
      <c r="AX197" t="s">
        <v>495</v>
      </c>
      <c r="AY197" s="492"/>
      <c r="AZ197" t="str">
        <f t="shared" si="236"/>
        <v>Change management and agility is periodically reviewed</v>
      </c>
      <c r="BA197" t="str">
        <f t="shared" si="246"/>
        <v>References</v>
      </c>
      <c r="BB197" t="str">
        <f t="shared" si="214"/>
        <v>2.4.5.RX</v>
      </c>
      <c r="BC197" t="str">
        <f>IF(AND(AY197&lt;&gt;"",LEFT(AY197,1)&lt;&gt;"#"),IF(LEFT(AY197,1)="-",REPLACE(AY197,1,1,tech!$H$2),AY197),"")</f>
        <v/>
      </c>
      <c r="BD197" t="s">
        <v>495</v>
      </c>
      <c r="BE197" s="492"/>
      <c r="BF197" t="str">
        <f t="shared" si="237"/>
        <v>Continual review and improvement</v>
      </c>
      <c r="BG197" t="str">
        <f t="shared" si="247"/>
        <v>References</v>
      </c>
      <c r="BH197" t="str">
        <f t="shared" si="215"/>
        <v>3.1.6.RX</v>
      </c>
      <c r="BI197" t="str">
        <f>IF(AND(BE197&lt;&gt;"",LEFT(BE197,1)&lt;&gt;"#"),IF(LEFT(BE197,1)="-",REPLACE(BE197,1,1,tech!$H$2),BE197),"")</f>
        <v/>
      </c>
      <c r="BJ197" t="s">
        <v>495</v>
      </c>
      <c r="BK197" s="492"/>
      <c r="BL197" t="str">
        <f t="shared" si="238"/>
        <v>Adoption and application of open standards</v>
      </c>
      <c r="BM197" t="str">
        <f t="shared" si="248"/>
        <v>References</v>
      </c>
      <c r="BN197" t="str">
        <f t="shared" si="216"/>
        <v>3.2.3.RX</v>
      </c>
      <c r="BO197" t="str">
        <f>IF(AND(BK197&lt;&gt;"",LEFT(BK197,1)&lt;&gt;"#"),IF(LEFT(BK197,1)="-",REPLACE(BK197,1,1,tech!$H$2),BK197),"")</f>
        <v/>
      </c>
      <c r="BP197" t="s">
        <v>495</v>
      </c>
      <c r="BQ197" s="492"/>
      <c r="BR197" t="str">
        <f t="shared" si="239"/>
        <v>Review of events and logs is periodically performed</v>
      </c>
      <c r="BS197" t="str">
        <f t="shared" si="249"/>
        <v>References</v>
      </c>
      <c r="BT197" t="str">
        <f t="shared" si="217"/>
        <v>3.3.6.RX</v>
      </c>
      <c r="BU197" t="str">
        <f>IF(AND(BQ197&lt;&gt;"",LEFT(BQ197,1)&lt;&gt;"#"),IF(LEFT(BQ197,1)="-",REPLACE(BQ197,1,1,tech!$H$2),BQ197),"")</f>
        <v/>
      </c>
      <c r="BV197" t="s">
        <v>495</v>
      </c>
      <c r="BW197" s="492"/>
      <c r="BX197" t="str">
        <f t="shared" si="240"/>
        <v>Incidents and exceptions handling</v>
      </c>
      <c r="BY197" t="str">
        <f t="shared" si="250"/>
        <v>References</v>
      </c>
      <c r="BZ197" t="str">
        <f t="shared" si="218"/>
        <v>3.4.3.RX</v>
      </c>
      <c r="CA197" t="str">
        <f>IF(AND(BW197&lt;&gt;"",LEFT(BW197,1)&lt;&gt;"#"),IF(LEFT(BW197,1)="-",REPLACE(BW197,1,1,tech!$H$2),BW197),"")</f>
        <v/>
      </c>
      <c r="CB197" t="s">
        <v>495</v>
      </c>
      <c r="CC197" s="492"/>
      <c r="CD197" t="str">
        <f t="shared" si="241"/>
        <v>Resources are periodically reviewed</v>
      </c>
      <c r="CE197" t="str">
        <f t="shared" si="251"/>
        <v>References</v>
      </c>
      <c r="CF197" t="str">
        <f t="shared" si="219"/>
        <v>4.1.4.RX</v>
      </c>
      <c r="CG197" t="str">
        <f>IF(AND(CC197&lt;&gt;"",LEFT(CC197,1)&lt;&gt;"#"),IF(LEFT(CC197,1)="-",REPLACE(CC197,1,1,tech!$H$2),CC197),"")</f>
        <v/>
      </c>
      <c r="CH197" t="s">
        <v>495</v>
      </c>
      <c r="CI197" s="492"/>
      <c r="CJ197" t="str">
        <f t="shared" si="242"/>
        <v>Periodically review knowledge</v>
      </c>
      <c r="CK197" t="str">
        <f t="shared" si="252"/>
        <v>References</v>
      </c>
      <c r="CL197" t="str">
        <f t="shared" si="220"/>
        <v>4.2.5.RX</v>
      </c>
      <c r="CM197" t="str">
        <f>IF(AND(CI197&lt;&gt;"",LEFT(CI197,1)&lt;&gt;"#"),IF(LEFT(CI197,1)="-",REPLACE(CI197,1,1,tech!$H$2),CI197),"")</f>
        <v/>
      </c>
      <c r="CN197" t="s">
        <v>495</v>
      </c>
      <c r="CO197" s="492"/>
      <c r="CP197" t="str">
        <f t="shared" si="243"/>
        <v>Timely communication of important information</v>
      </c>
      <c r="CQ197" t="str">
        <f t="shared" si="253"/>
        <v>References</v>
      </c>
      <c r="CR197" t="str">
        <f t="shared" si="221"/>
        <v>4.3.4.RX</v>
      </c>
      <c r="CS197" t="str">
        <f>IF(AND(CO197&lt;&gt;"",LEFT(CO197,1)&lt;&gt;"#"),IF(LEFT(CO197,1)="-",REPLACE(CO197,1,1,tech!$H$2),CO197),"")</f>
        <v/>
      </c>
      <c r="CT197" t="s">
        <v>495</v>
      </c>
    </row>
    <row r="198" spans="15:98" x14ac:dyDescent="0.25">
      <c r="O198" s="492"/>
      <c r="P198" t="str">
        <f t="shared" si="222"/>
        <v>Policies are periodically reviewed and updated</v>
      </c>
      <c r="Q198" t="str">
        <f t="shared" si="223"/>
        <v>References</v>
      </c>
      <c r="R198" t="str">
        <f t="shared" si="224"/>
        <v>1.2.5.RX</v>
      </c>
      <c r="S198" t="str">
        <f>IF(AND(O198&lt;&gt;"",LEFT(O198,1)&lt;&gt;"#"),IF(LEFT(O198,1)="-",REPLACE(O198,1,1,tech!$H$2),O198),"")</f>
        <v/>
      </c>
      <c r="T198" t="s">
        <v>495</v>
      </c>
      <c r="U198" s="492"/>
      <c r="V198" t="str">
        <f t="shared" si="225"/>
        <v>List of relevant laws, regulations, and standards, exist and is maintained</v>
      </c>
      <c r="W198" t="str">
        <f t="shared" si="226"/>
        <v>References</v>
      </c>
      <c r="X198" t="str">
        <f t="shared" si="227"/>
        <v>1.3.4.RX</v>
      </c>
      <c r="Y198" t="str">
        <f>IF(AND(U198&lt;&gt;"",LEFT(U198,1)&lt;&gt;"#"),IF(LEFT(U198,1)="-",REPLACE(U198,1,1,tech!$H$2),U198),"")</f>
        <v/>
      </c>
      <c r="Z198" t="s">
        <v>495</v>
      </c>
      <c r="AA198" s="492"/>
      <c r="AB198" t="str">
        <f t="shared" si="228"/>
        <v>Processes and procedures are reviewed and updated</v>
      </c>
      <c r="AC198" t="str">
        <f t="shared" si="229"/>
        <v>References</v>
      </c>
      <c r="AD198" t="str">
        <f t="shared" si="230"/>
        <v>1.4.5.RX</v>
      </c>
      <c r="AE198" t="str">
        <f>IF(AND(AA198&lt;&gt;"",LEFT(AA198,1)&lt;&gt;"#"),IF(LEFT(AA198,1)="-",REPLACE(AA198,1,1,tech!$H$2),AA198),"")</f>
        <v/>
      </c>
      <c r="AF198" t="s">
        <v>495</v>
      </c>
      <c r="AG198" s="492"/>
      <c r="AH198" t="str">
        <f t="shared" si="231"/>
        <v>Key management is periodically reviewed and updated</v>
      </c>
      <c r="AI198" t="str">
        <f t="shared" si="232"/>
        <v>References</v>
      </c>
      <c r="AJ198" t="str">
        <f t="shared" si="233"/>
        <v>2.1.6.RX</v>
      </c>
      <c r="AK198" t="str">
        <f>IF(AND(AG198&lt;&gt;"",LEFT(AG198,1)&lt;&gt;"#"),IF(LEFT(AG198,1)="-",REPLACE(AG198,1,1,tech!$H$2),AG198),"")</f>
        <v/>
      </c>
      <c r="AL198" t="s">
        <v>495</v>
      </c>
      <c r="AM198" s="492" t="s">
        <v>875</v>
      </c>
      <c r="AN198" t="str">
        <f t="shared" si="234"/>
        <v>Organizational PKI governance</v>
      </c>
      <c r="AO198" t="str">
        <f t="shared" si="244"/>
        <v>Assessment</v>
      </c>
      <c r="AP198" t="str">
        <f t="shared" si="212"/>
        <v>2.2.7.AY</v>
      </c>
      <c r="AQ198" t="str">
        <f>IF(AND(AM198&lt;&gt;"",LEFT(AM198,1)&lt;&gt;"#"),IF(LEFT(AM198,1)="-",REPLACE(AM198,1,1,tech!$H$2),AM198),"")</f>
        <v>* Documented PKI best practices</v>
      </c>
      <c r="AR198" t="s">
        <v>495</v>
      </c>
      <c r="AS198" s="492"/>
      <c r="AT198" t="str">
        <f t="shared" si="235"/>
        <v>Infrastructure activities are periodically reviewed</v>
      </c>
      <c r="AU198" t="str">
        <f t="shared" si="245"/>
        <v>References</v>
      </c>
      <c r="AV198" t="str">
        <f t="shared" si="213"/>
        <v>2.3.5.RX</v>
      </c>
      <c r="AW198" t="str">
        <f>IF(AND(AS198&lt;&gt;"",LEFT(AS198,1)&lt;&gt;"#"),IF(LEFT(AS198,1)="-",REPLACE(AS198,1,1,tech!$H$2),AS198),"")</f>
        <v/>
      </c>
      <c r="AX198" t="s">
        <v>495</v>
      </c>
      <c r="AY198" s="492"/>
      <c r="AZ198" t="str">
        <f t="shared" si="236"/>
        <v>Change management and agility is periodically reviewed</v>
      </c>
      <c r="BA198" t="str">
        <f t="shared" si="246"/>
        <v>References</v>
      </c>
      <c r="BB198" t="str">
        <f t="shared" si="214"/>
        <v>2.4.5.RX</v>
      </c>
      <c r="BC198" t="str">
        <f>IF(AND(AY198&lt;&gt;"",LEFT(AY198,1)&lt;&gt;"#"),IF(LEFT(AY198,1)="-",REPLACE(AY198,1,1,tech!$H$2),AY198),"")</f>
        <v/>
      </c>
      <c r="BD198" t="s">
        <v>495</v>
      </c>
      <c r="BE198" s="492"/>
      <c r="BF198" t="str">
        <f t="shared" si="237"/>
        <v>Continual review and improvement</v>
      </c>
      <c r="BG198" t="str">
        <f t="shared" si="247"/>
        <v>References</v>
      </c>
      <c r="BH198" t="str">
        <f t="shared" si="215"/>
        <v>3.1.6.RX</v>
      </c>
      <c r="BI198" t="str">
        <f>IF(AND(BE198&lt;&gt;"",LEFT(BE198,1)&lt;&gt;"#"),IF(LEFT(BE198,1)="-",REPLACE(BE198,1,1,tech!$H$2),BE198),"")</f>
        <v/>
      </c>
      <c r="BJ198" t="s">
        <v>495</v>
      </c>
      <c r="BK198" s="492"/>
      <c r="BL198" t="str">
        <f t="shared" si="238"/>
        <v>Adoption and application of open standards</v>
      </c>
      <c r="BM198" t="str">
        <f t="shared" si="248"/>
        <v>References</v>
      </c>
      <c r="BN198" t="str">
        <f t="shared" si="216"/>
        <v>3.2.3.RX</v>
      </c>
      <c r="BO198" t="str">
        <f>IF(AND(BK198&lt;&gt;"",LEFT(BK198,1)&lt;&gt;"#"),IF(LEFT(BK198,1)="-",REPLACE(BK198,1,1,tech!$H$2),BK198),"")</f>
        <v/>
      </c>
      <c r="BP198" t="s">
        <v>495</v>
      </c>
      <c r="BQ198" s="492"/>
      <c r="BR198" t="str">
        <f t="shared" si="239"/>
        <v>Review of events and logs is periodically performed</v>
      </c>
      <c r="BS198" t="str">
        <f t="shared" si="249"/>
        <v>References</v>
      </c>
      <c r="BT198" t="str">
        <f t="shared" si="217"/>
        <v>3.3.6.RX</v>
      </c>
      <c r="BU198" t="str">
        <f>IF(AND(BQ198&lt;&gt;"",LEFT(BQ198,1)&lt;&gt;"#"),IF(LEFT(BQ198,1)="-",REPLACE(BQ198,1,1,tech!$H$2),BQ198),"")</f>
        <v/>
      </c>
      <c r="BV198" t="s">
        <v>495</v>
      </c>
      <c r="BW198" s="492"/>
      <c r="BX198" t="str">
        <f t="shared" si="240"/>
        <v>Incidents and exceptions handling</v>
      </c>
      <c r="BY198" t="str">
        <f t="shared" si="250"/>
        <v>References</v>
      </c>
      <c r="BZ198" t="str">
        <f t="shared" si="218"/>
        <v>3.4.3.RX</v>
      </c>
      <c r="CA198" t="str">
        <f>IF(AND(BW198&lt;&gt;"",LEFT(BW198,1)&lt;&gt;"#"),IF(LEFT(BW198,1)="-",REPLACE(BW198,1,1,tech!$H$2),BW198),"")</f>
        <v/>
      </c>
      <c r="CB198" t="s">
        <v>495</v>
      </c>
      <c r="CC198" s="492"/>
      <c r="CD198" t="str">
        <f t="shared" si="241"/>
        <v>Resources are periodically reviewed</v>
      </c>
      <c r="CE198" t="str">
        <f t="shared" si="251"/>
        <v>References</v>
      </c>
      <c r="CF198" t="str">
        <f t="shared" si="219"/>
        <v>4.1.4.RX</v>
      </c>
      <c r="CG198" t="str">
        <f>IF(AND(CC198&lt;&gt;"",LEFT(CC198,1)&lt;&gt;"#"),IF(LEFT(CC198,1)="-",REPLACE(CC198,1,1,tech!$H$2),CC198),"")</f>
        <v/>
      </c>
      <c r="CH198" t="s">
        <v>495</v>
      </c>
      <c r="CI198" s="492"/>
      <c r="CJ198" t="str">
        <f t="shared" si="242"/>
        <v>Periodically review knowledge</v>
      </c>
      <c r="CK198" t="str">
        <f t="shared" si="252"/>
        <v>References</v>
      </c>
      <c r="CL198" t="str">
        <f t="shared" si="220"/>
        <v>4.2.5.RX</v>
      </c>
      <c r="CM198" t="str">
        <f>IF(AND(CI198&lt;&gt;"",LEFT(CI198,1)&lt;&gt;"#"),IF(LEFT(CI198,1)="-",REPLACE(CI198,1,1,tech!$H$2),CI198),"")</f>
        <v/>
      </c>
      <c r="CN198" t="s">
        <v>495</v>
      </c>
      <c r="CO198" s="492"/>
      <c r="CP198" t="str">
        <f t="shared" si="243"/>
        <v>Timely communication of important information</v>
      </c>
      <c r="CQ198" t="str">
        <f t="shared" si="253"/>
        <v>References</v>
      </c>
      <c r="CR198" t="str">
        <f t="shared" si="221"/>
        <v>4.3.4.RX</v>
      </c>
      <c r="CS198" t="str">
        <f>IF(AND(CO198&lt;&gt;"",LEFT(CO198,1)&lt;&gt;"#"),IF(LEFT(CO198,1)="-",REPLACE(CO198,1,1,tech!$H$2),CO198),"")</f>
        <v/>
      </c>
      <c r="CT198" t="s">
        <v>495</v>
      </c>
    </row>
    <row r="199" spans="15:98" x14ac:dyDescent="0.25">
      <c r="O199" s="492"/>
      <c r="P199" t="str">
        <f t="shared" si="222"/>
        <v>Policies are periodically reviewed and updated</v>
      </c>
      <c r="Q199" t="str">
        <f t="shared" si="223"/>
        <v>References</v>
      </c>
      <c r="R199" t="str">
        <f t="shared" si="224"/>
        <v>1.2.5.RX</v>
      </c>
      <c r="S199" t="str">
        <f>IF(AND(O199&lt;&gt;"",LEFT(O199,1)&lt;&gt;"#"),IF(LEFT(O199,1)="-",REPLACE(O199,1,1,tech!$H$2),O199),"")</f>
        <v/>
      </c>
      <c r="T199" t="s">
        <v>495</v>
      </c>
      <c r="U199" s="492"/>
      <c r="V199" t="str">
        <f t="shared" si="225"/>
        <v>List of relevant laws, regulations, and standards, exist and is maintained</v>
      </c>
      <c r="W199" t="str">
        <f t="shared" si="226"/>
        <v>References</v>
      </c>
      <c r="X199" t="str">
        <f t="shared" si="227"/>
        <v>1.3.4.RX</v>
      </c>
      <c r="Y199" t="str">
        <f>IF(AND(U199&lt;&gt;"",LEFT(U199,1)&lt;&gt;"#"),IF(LEFT(U199,1)="-",REPLACE(U199,1,1,tech!$H$2),U199),"")</f>
        <v/>
      </c>
      <c r="Z199" t="s">
        <v>495</v>
      </c>
      <c r="AA199" s="492"/>
      <c r="AB199" t="str">
        <f t="shared" si="228"/>
        <v>Processes and procedures are reviewed and updated</v>
      </c>
      <c r="AC199" t="str">
        <f t="shared" si="229"/>
        <v>References</v>
      </c>
      <c r="AD199" t="str">
        <f t="shared" si="230"/>
        <v>1.4.5.RX</v>
      </c>
      <c r="AE199" t="str">
        <f>IF(AND(AA199&lt;&gt;"",LEFT(AA199,1)&lt;&gt;"#"),IF(LEFT(AA199,1)="-",REPLACE(AA199,1,1,tech!$H$2),AA199),"")</f>
        <v/>
      </c>
      <c r="AF199" t="s">
        <v>495</v>
      </c>
      <c r="AG199" s="492"/>
      <c r="AH199" t="str">
        <f t="shared" si="231"/>
        <v>Key management is periodically reviewed and updated</v>
      </c>
      <c r="AI199" t="str">
        <f t="shared" si="232"/>
        <v>References</v>
      </c>
      <c r="AJ199" t="str">
        <f t="shared" si="233"/>
        <v>2.1.6.RX</v>
      </c>
      <c r="AK199" t="str">
        <f>IF(AND(AG199&lt;&gt;"",LEFT(AG199,1)&lt;&gt;"#"),IF(LEFT(AG199,1)="-",REPLACE(AG199,1,1,tech!$H$2),AG199),"")</f>
        <v/>
      </c>
      <c r="AL199" t="s">
        <v>495</v>
      </c>
      <c r="AM199" s="492" t="s">
        <v>876</v>
      </c>
      <c r="AN199" t="str">
        <f t="shared" si="234"/>
        <v>Organizational PKI governance</v>
      </c>
      <c r="AO199" t="str">
        <f t="shared" si="244"/>
        <v>Assessment</v>
      </c>
      <c r="AP199" t="str">
        <f t="shared" si="212"/>
        <v>2.2.7.AY</v>
      </c>
      <c r="AQ199" t="str">
        <f>IF(AND(AM199&lt;&gt;"",LEFT(AM199,1)&lt;&gt;"#"),IF(LEFT(AM199,1)="-",REPLACE(AM199,1,1,tech!$H$2),AM199),"")</f>
        <v xml:space="preserve">  * Installation procedures to avoid re-learning the same issues in different parts of the organization</v>
      </c>
      <c r="AR199" t="s">
        <v>495</v>
      </c>
      <c r="AS199" s="492"/>
      <c r="AT199" t="str">
        <f t="shared" si="235"/>
        <v>Infrastructure activities are periodically reviewed</v>
      </c>
      <c r="AU199" t="str">
        <f t="shared" si="245"/>
        <v>References</v>
      </c>
      <c r="AV199" t="str">
        <f t="shared" si="213"/>
        <v>2.3.5.RX</v>
      </c>
      <c r="AW199" t="str">
        <f>IF(AND(AS199&lt;&gt;"",LEFT(AS199,1)&lt;&gt;"#"),IF(LEFT(AS199,1)="-",REPLACE(AS199,1,1,tech!$H$2),AS199),"")</f>
        <v/>
      </c>
      <c r="AX199" t="s">
        <v>495</v>
      </c>
      <c r="AY199" s="492"/>
      <c r="AZ199" t="str">
        <f t="shared" si="236"/>
        <v>Change management and agility is periodically reviewed</v>
      </c>
      <c r="BA199" t="str">
        <f t="shared" si="246"/>
        <v>References</v>
      </c>
      <c r="BB199" t="str">
        <f t="shared" si="214"/>
        <v>2.4.5.RX</v>
      </c>
      <c r="BC199" t="str">
        <f>IF(AND(AY199&lt;&gt;"",LEFT(AY199,1)&lt;&gt;"#"),IF(LEFT(AY199,1)="-",REPLACE(AY199,1,1,tech!$H$2),AY199),"")</f>
        <v/>
      </c>
      <c r="BD199" t="s">
        <v>495</v>
      </c>
      <c r="BE199" s="492"/>
      <c r="BF199" t="str">
        <f t="shared" si="237"/>
        <v>Continual review and improvement</v>
      </c>
      <c r="BG199" t="str">
        <f t="shared" si="247"/>
        <v>References</v>
      </c>
      <c r="BH199" t="str">
        <f t="shared" si="215"/>
        <v>3.1.6.RX</v>
      </c>
      <c r="BI199" t="str">
        <f>IF(AND(BE199&lt;&gt;"",LEFT(BE199,1)&lt;&gt;"#"),IF(LEFT(BE199,1)="-",REPLACE(BE199,1,1,tech!$H$2),BE199),"")</f>
        <v/>
      </c>
      <c r="BJ199" t="s">
        <v>495</v>
      </c>
      <c r="BK199" s="492"/>
      <c r="BL199" t="str">
        <f t="shared" si="238"/>
        <v>Adoption and application of open standards</v>
      </c>
      <c r="BM199" t="str">
        <f t="shared" si="248"/>
        <v>References</v>
      </c>
      <c r="BN199" t="str">
        <f t="shared" si="216"/>
        <v>3.2.3.RX</v>
      </c>
      <c r="BO199" t="str">
        <f>IF(AND(BK199&lt;&gt;"",LEFT(BK199,1)&lt;&gt;"#"),IF(LEFT(BK199,1)="-",REPLACE(BK199,1,1,tech!$H$2),BK199),"")</f>
        <v/>
      </c>
      <c r="BP199" t="s">
        <v>495</v>
      </c>
      <c r="BQ199" s="492"/>
      <c r="BR199" t="str">
        <f t="shared" si="239"/>
        <v>Review of events and logs is periodically performed</v>
      </c>
      <c r="BS199" t="str">
        <f t="shared" si="249"/>
        <v>References</v>
      </c>
      <c r="BT199" t="str">
        <f t="shared" si="217"/>
        <v>3.3.6.RX</v>
      </c>
      <c r="BU199" t="str">
        <f>IF(AND(BQ199&lt;&gt;"",LEFT(BQ199,1)&lt;&gt;"#"),IF(LEFT(BQ199,1)="-",REPLACE(BQ199,1,1,tech!$H$2),BQ199),"")</f>
        <v/>
      </c>
      <c r="BV199" t="s">
        <v>495</v>
      </c>
      <c r="BW199" s="492"/>
      <c r="BX199" t="str">
        <f t="shared" si="240"/>
        <v>Incidents and exceptions handling</v>
      </c>
      <c r="BY199" t="str">
        <f t="shared" si="250"/>
        <v>References</v>
      </c>
      <c r="BZ199" t="str">
        <f t="shared" si="218"/>
        <v>3.4.3.RX</v>
      </c>
      <c r="CA199" t="str">
        <f>IF(AND(BW199&lt;&gt;"",LEFT(BW199,1)&lt;&gt;"#"),IF(LEFT(BW199,1)="-",REPLACE(BW199,1,1,tech!$H$2),BW199),"")</f>
        <v/>
      </c>
      <c r="CB199" t="s">
        <v>495</v>
      </c>
      <c r="CC199" s="492"/>
      <c r="CD199" t="str">
        <f t="shared" si="241"/>
        <v>Resources are periodically reviewed</v>
      </c>
      <c r="CE199" t="str">
        <f t="shared" si="251"/>
        <v>References</v>
      </c>
      <c r="CF199" t="str">
        <f t="shared" si="219"/>
        <v>4.1.4.RX</v>
      </c>
      <c r="CG199" t="str">
        <f>IF(AND(CC199&lt;&gt;"",LEFT(CC199,1)&lt;&gt;"#"),IF(LEFT(CC199,1)="-",REPLACE(CC199,1,1,tech!$H$2),CC199),"")</f>
        <v/>
      </c>
      <c r="CH199" t="s">
        <v>495</v>
      </c>
      <c r="CI199" s="492"/>
      <c r="CJ199" t="str">
        <f t="shared" si="242"/>
        <v>Periodically review knowledge</v>
      </c>
      <c r="CK199" t="str">
        <f t="shared" si="252"/>
        <v>References</v>
      </c>
      <c r="CL199" t="str">
        <f t="shared" si="220"/>
        <v>4.2.5.RX</v>
      </c>
      <c r="CM199" t="str">
        <f>IF(AND(CI199&lt;&gt;"",LEFT(CI199,1)&lt;&gt;"#"),IF(LEFT(CI199,1)="-",REPLACE(CI199,1,1,tech!$H$2),CI199),"")</f>
        <v/>
      </c>
      <c r="CN199" t="s">
        <v>495</v>
      </c>
      <c r="CO199" s="492"/>
      <c r="CP199" t="str">
        <f t="shared" si="243"/>
        <v>Timely communication of important information</v>
      </c>
      <c r="CQ199" t="str">
        <f t="shared" si="253"/>
        <v>References</v>
      </c>
      <c r="CR199" t="str">
        <f t="shared" si="221"/>
        <v>4.3.4.RX</v>
      </c>
      <c r="CS199" t="str">
        <f>IF(AND(CO199&lt;&gt;"",LEFT(CO199,1)&lt;&gt;"#"),IF(LEFT(CO199,1)="-",REPLACE(CO199,1,1,tech!$H$2),CO199),"")</f>
        <v/>
      </c>
      <c r="CT199" t="s">
        <v>495</v>
      </c>
    </row>
    <row r="200" spans="15:98" x14ac:dyDescent="0.25">
      <c r="O200" s="492"/>
      <c r="P200" t="str">
        <f t="shared" si="222"/>
        <v>Policies are periodically reviewed and updated</v>
      </c>
      <c r="Q200" t="str">
        <f t="shared" si="223"/>
        <v>References</v>
      </c>
      <c r="R200" t="str">
        <f t="shared" si="224"/>
        <v>1.2.5.RX</v>
      </c>
      <c r="S200" t="str">
        <f>IF(AND(O200&lt;&gt;"",LEFT(O200,1)&lt;&gt;"#"),IF(LEFT(O200,1)="-",REPLACE(O200,1,1,tech!$H$2),O200),"")</f>
        <v/>
      </c>
      <c r="T200" t="s">
        <v>495</v>
      </c>
      <c r="U200" s="492"/>
      <c r="V200" t="str">
        <f t="shared" si="225"/>
        <v>List of relevant laws, regulations, and standards, exist and is maintained</v>
      </c>
      <c r="W200" t="str">
        <f t="shared" si="226"/>
        <v>References</v>
      </c>
      <c r="X200" t="str">
        <f t="shared" si="227"/>
        <v>1.3.4.RX</v>
      </c>
      <c r="Y200" t="str">
        <f>IF(AND(U200&lt;&gt;"",LEFT(U200,1)&lt;&gt;"#"),IF(LEFT(U200,1)="-",REPLACE(U200,1,1,tech!$H$2),U200),"")</f>
        <v/>
      </c>
      <c r="Z200" t="s">
        <v>495</v>
      </c>
      <c r="AA200" s="492"/>
      <c r="AB200" t="str">
        <f t="shared" si="228"/>
        <v>Processes and procedures are reviewed and updated</v>
      </c>
      <c r="AC200" t="str">
        <f t="shared" si="229"/>
        <v>References</v>
      </c>
      <c r="AD200" t="str">
        <f t="shared" si="230"/>
        <v>1.4.5.RX</v>
      </c>
      <c r="AE200" t="str">
        <f>IF(AND(AA200&lt;&gt;"",LEFT(AA200,1)&lt;&gt;"#"),IF(LEFT(AA200,1)="-",REPLACE(AA200,1,1,tech!$H$2),AA200),"")</f>
        <v/>
      </c>
      <c r="AF200" t="s">
        <v>495</v>
      </c>
      <c r="AG200" s="492"/>
      <c r="AH200" t="str">
        <f t="shared" si="231"/>
        <v>Key management is periodically reviewed and updated</v>
      </c>
      <c r="AI200" t="str">
        <f t="shared" si="232"/>
        <v>References</v>
      </c>
      <c r="AJ200" t="str">
        <f t="shared" si="233"/>
        <v>2.1.6.RX</v>
      </c>
      <c r="AK200" t="str">
        <f>IF(AND(AG200&lt;&gt;"",LEFT(AG200,1)&lt;&gt;"#"),IF(LEFT(AG200,1)="-",REPLACE(AG200,1,1,tech!$H$2),AG200),"")</f>
        <v/>
      </c>
      <c r="AL200" t="s">
        <v>495</v>
      </c>
      <c r="AM200" s="492" t="s">
        <v>877</v>
      </c>
      <c r="AN200" t="str">
        <f t="shared" si="234"/>
        <v>Organizational PKI governance</v>
      </c>
      <c r="AO200" t="str">
        <f t="shared" si="244"/>
        <v>Assessment</v>
      </c>
      <c r="AP200" t="str">
        <f t="shared" si="212"/>
        <v>2.2.7.AY</v>
      </c>
      <c r="AQ200" t="str">
        <f>IF(AND(AM200&lt;&gt;"",LEFT(AM200,1)&lt;&gt;"#"),IF(LEFT(AM200,1)="-",REPLACE(AM200,1,1,tech!$H$2),AM200),"")</f>
        <v xml:space="preserve">  * Configuration to ensure consistent and interoperable certificates where applicable</v>
      </c>
      <c r="AR200" t="s">
        <v>495</v>
      </c>
      <c r="AS200" s="492"/>
      <c r="AT200" t="str">
        <f t="shared" si="235"/>
        <v>Infrastructure activities are periodically reviewed</v>
      </c>
      <c r="AU200" t="str">
        <f t="shared" si="245"/>
        <v>References</v>
      </c>
      <c r="AV200" t="str">
        <f t="shared" si="213"/>
        <v>2.3.5.RX</v>
      </c>
      <c r="AW200" t="str">
        <f>IF(AND(AS200&lt;&gt;"",LEFT(AS200,1)&lt;&gt;"#"),IF(LEFT(AS200,1)="-",REPLACE(AS200,1,1,tech!$H$2),AS200),"")</f>
        <v/>
      </c>
      <c r="AX200" t="s">
        <v>495</v>
      </c>
      <c r="AY200" s="492"/>
      <c r="AZ200" t="str">
        <f t="shared" si="236"/>
        <v>Change management and agility is periodically reviewed</v>
      </c>
      <c r="BA200" t="str">
        <f t="shared" si="246"/>
        <v>References</v>
      </c>
      <c r="BB200" t="str">
        <f t="shared" si="214"/>
        <v>2.4.5.RX</v>
      </c>
      <c r="BC200" t="str">
        <f>IF(AND(AY200&lt;&gt;"",LEFT(AY200,1)&lt;&gt;"#"),IF(LEFT(AY200,1)="-",REPLACE(AY200,1,1,tech!$H$2),AY200),"")</f>
        <v/>
      </c>
      <c r="BD200" t="s">
        <v>495</v>
      </c>
      <c r="BE200" s="492"/>
      <c r="BF200" t="str">
        <f t="shared" si="237"/>
        <v>Continual review and improvement</v>
      </c>
      <c r="BG200" t="str">
        <f t="shared" si="247"/>
        <v>References</v>
      </c>
      <c r="BH200" t="str">
        <f t="shared" si="215"/>
        <v>3.1.6.RX</v>
      </c>
      <c r="BI200" t="str">
        <f>IF(AND(BE200&lt;&gt;"",LEFT(BE200,1)&lt;&gt;"#"),IF(LEFT(BE200,1)="-",REPLACE(BE200,1,1,tech!$H$2),BE200),"")</f>
        <v/>
      </c>
      <c r="BJ200" t="s">
        <v>495</v>
      </c>
      <c r="BK200" s="492"/>
      <c r="BL200" t="str">
        <f t="shared" si="238"/>
        <v>Adoption and application of open standards</v>
      </c>
      <c r="BM200" t="str">
        <f t="shared" si="248"/>
        <v>References</v>
      </c>
      <c r="BN200" t="str">
        <f t="shared" si="216"/>
        <v>3.2.3.RX</v>
      </c>
      <c r="BO200" t="str">
        <f>IF(AND(BK200&lt;&gt;"",LEFT(BK200,1)&lt;&gt;"#"),IF(LEFT(BK200,1)="-",REPLACE(BK200,1,1,tech!$H$2),BK200),"")</f>
        <v/>
      </c>
      <c r="BP200" t="s">
        <v>495</v>
      </c>
      <c r="BQ200" s="492"/>
      <c r="BR200" t="str">
        <f t="shared" si="239"/>
        <v>Review of events and logs is periodically performed</v>
      </c>
      <c r="BS200" t="str">
        <f t="shared" si="249"/>
        <v>References</v>
      </c>
      <c r="BT200" t="str">
        <f t="shared" si="217"/>
        <v>3.3.6.RX</v>
      </c>
      <c r="BU200" t="str">
        <f>IF(AND(BQ200&lt;&gt;"",LEFT(BQ200,1)&lt;&gt;"#"),IF(LEFT(BQ200,1)="-",REPLACE(BQ200,1,1,tech!$H$2),BQ200),"")</f>
        <v/>
      </c>
      <c r="BV200" t="s">
        <v>495</v>
      </c>
      <c r="BW200" s="492"/>
      <c r="BX200" t="str">
        <f t="shared" si="240"/>
        <v>Incidents and exceptions handling</v>
      </c>
      <c r="BY200" t="str">
        <f t="shared" si="250"/>
        <v>References</v>
      </c>
      <c r="BZ200" t="str">
        <f t="shared" si="218"/>
        <v>3.4.3.RX</v>
      </c>
      <c r="CA200" t="str">
        <f>IF(AND(BW200&lt;&gt;"",LEFT(BW200,1)&lt;&gt;"#"),IF(LEFT(BW200,1)="-",REPLACE(BW200,1,1,tech!$H$2),BW200),"")</f>
        <v/>
      </c>
      <c r="CB200" t="s">
        <v>495</v>
      </c>
      <c r="CC200" s="492"/>
      <c r="CD200" t="str">
        <f t="shared" si="241"/>
        <v>Resources are periodically reviewed</v>
      </c>
      <c r="CE200" t="str">
        <f t="shared" si="251"/>
        <v>References</v>
      </c>
      <c r="CF200" t="str">
        <f t="shared" si="219"/>
        <v>4.1.4.RX</v>
      </c>
      <c r="CG200" t="str">
        <f>IF(AND(CC200&lt;&gt;"",LEFT(CC200,1)&lt;&gt;"#"),IF(LEFT(CC200,1)="-",REPLACE(CC200,1,1,tech!$H$2),CC200),"")</f>
        <v/>
      </c>
      <c r="CH200" t="s">
        <v>495</v>
      </c>
      <c r="CI200" s="492"/>
      <c r="CJ200" t="str">
        <f t="shared" si="242"/>
        <v>Periodically review knowledge</v>
      </c>
      <c r="CK200" t="str">
        <f t="shared" si="252"/>
        <v>References</v>
      </c>
      <c r="CL200" t="str">
        <f t="shared" si="220"/>
        <v>4.2.5.RX</v>
      </c>
      <c r="CM200" t="str">
        <f>IF(AND(CI200&lt;&gt;"",LEFT(CI200,1)&lt;&gt;"#"),IF(LEFT(CI200,1)="-",REPLACE(CI200,1,1,tech!$H$2),CI200),"")</f>
        <v/>
      </c>
      <c r="CN200" t="s">
        <v>495</v>
      </c>
      <c r="CO200" s="492"/>
      <c r="CP200" t="str">
        <f t="shared" si="243"/>
        <v>Timely communication of important information</v>
      </c>
      <c r="CQ200" t="str">
        <f t="shared" si="253"/>
        <v>References</v>
      </c>
      <c r="CR200" t="str">
        <f t="shared" si="221"/>
        <v>4.3.4.RX</v>
      </c>
      <c r="CS200" t="str">
        <f>IF(AND(CO200&lt;&gt;"",LEFT(CO200,1)&lt;&gt;"#"),IF(LEFT(CO200,1)="-",REPLACE(CO200,1,1,tech!$H$2),CO200),"")</f>
        <v/>
      </c>
      <c r="CT200" t="s">
        <v>495</v>
      </c>
    </row>
    <row r="201" spans="15:98" x14ac:dyDescent="0.25">
      <c r="O201" s="492"/>
      <c r="P201" t="str">
        <f t="shared" ref="P201:P230" si="254">IF(AND(LEFT(O201,1)="#",IFERROR(LEN(_xlfn.TEXTBEFORE(O201," "))=3,0)),_xlfn.TEXTAFTER(O201," "),P200)</f>
        <v>Policies are periodically reviewed and updated</v>
      </c>
      <c r="Q201" t="str">
        <f t="shared" ref="Q201:Q230" si="255">IF(AND(LEFT(O201,1)="#",IFERROR(LEN(_xlfn.TEXTBEFORE(O201," "))=4,0)),_xlfn.TEXTAFTER(O201," "),Q200)</f>
        <v>References</v>
      </c>
      <c r="R201" t="str">
        <f t="shared" ref="R201:R230" si="256">_xlfn.CONCAT(IFERROR(VLOOKUP(P201,$R$4:$S$13,2,0),""),LEFT(Q201,1),IF(S201="",IF(AND(S200&lt;&gt;"",S202&lt;&gt;""),"Y","X"),"Y"))</f>
        <v>1.2.5.RX</v>
      </c>
      <c r="S201" t="str">
        <f>IF(AND(O201&lt;&gt;"",LEFT(O201,1)&lt;&gt;"#"),IF(LEFT(O201,1)="-",REPLACE(O201,1,1,tech!$H$2),O201),"")</f>
        <v/>
      </c>
      <c r="T201" t="s">
        <v>495</v>
      </c>
      <c r="U201" s="492"/>
      <c r="V201" t="str">
        <f t="shared" ref="V201:V230" si="257">IF(AND(LEFT(U201,1)="#",IFERROR(LEN(_xlfn.TEXTBEFORE(U201," "))=3,0)),_xlfn.TEXTAFTER(U201," "),V200)</f>
        <v>List of relevant laws, regulations, and standards, exist and is maintained</v>
      </c>
      <c r="W201" t="str">
        <f t="shared" ref="W201:W230" si="258">IF(AND(LEFT(U201,1)="#",IFERROR(LEN(_xlfn.TEXTBEFORE(U201," "))=4,0)),_xlfn.TEXTAFTER(U201," "),W200)</f>
        <v>References</v>
      </c>
      <c r="X201" t="str">
        <f t="shared" ref="X201:X230" si="259">_xlfn.CONCAT(IFERROR(VLOOKUP(V201,X$4:Y$13,2,0),""),LEFT(W201,1),IF(Y201="",IF(AND(Y200&lt;&gt;"",Y202&lt;&gt;""),"Y","X"),"Y"))</f>
        <v>1.3.4.RX</v>
      </c>
      <c r="Y201" t="str">
        <f>IF(AND(U201&lt;&gt;"",LEFT(U201,1)&lt;&gt;"#"),IF(LEFT(U201,1)="-",REPLACE(U201,1,1,tech!$H$2),U201),"")</f>
        <v/>
      </c>
      <c r="Z201" t="s">
        <v>495</v>
      </c>
      <c r="AA201" s="492"/>
      <c r="AB201" t="str">
        <f t="shared" ref="AB201:AB230" si="260">IF(AND(LEFT(AA201,1)="#",IFERROR(LEN(_xlfn.TEXTBEFORE(AA201," "))=3,0)),_xlfn.TEXTAFTER(AA201," "),AB200)</f>
        <v>Processes and procedures are reviewed and updated</v>
      </c>
      <c r="AC201" t="str">
        <f t="shared" ref="AC201:AC230" si="261">IF(AND(LEFT(AA201,1)="#",IFERROR(LEN(_xlfn.TEXTBEFORE(AA201," "))=4,0)),_xlfn.TEXTAFTER(AA201," "),AC200)</f>
        <v>References</v>
      </c>
      <c r="AD201" t="str">
        <f t="shared" ref="AD201:AD230" si="262">_xlfn.CONCAT(IFERROR(VLOOKUP(AB201,AD$4:AE$13,2,0),""),LEFT(AC201,1),IF(AE201="",IF(AND(AE200&lt;&gt;"",AE202&lt;&gt;""),"Y","X"),"Y"))</f>
        <v>1.4.5.RX</v>
      </c>
      <c r="AE201" t="str">
        <f>IF(AND(AA201&lt;&gt;"",LEFT(AA201,1)&lt;&gt;"#"),IF(LEFT(AA201,1)="-",REPLACE(AA201,1,1,tech!$H$2),AA201),"")</f>
        <v/>
      </c>
      <c r="AF201" t="s">
        <v>495</v>
      </c>
      <c r="AG201" s="492"/>
      <c r="AH201" t="str">
        <f t="shared" ref="AH201:AH230" si="263">IF(AND(LEFT(AG201,1)="#",IFERROR(LEN(_xlfn.TEXTBEFORE(AG201," "))=3,0)),_xlfn.TEXTAFTER(AG201," "),AH200)</f>
        <v>Key management is periodically reviewed and updated</v>
      </c>
      <c r="AI201" t="str">
        <f t="shared" ref="AI201:AI230" si="264">IF(AND(LEFT(AG201,1)="#",IFERROR(LEN(_xlfn.TEXTBEFORE(AG201," "))=4,0)),_xlfn.TEXTAFTER(AG201," "),AI200)</f>
        <v>References</v>
      </c>
      <c r="AJ201" t="str">
        <f t="shared" ref="AJ201:AJ230" si="265">_xlfn.CONCAT(IFERROR(VLOOKUP(AH201,AJ$4:AK$13,2,0),""),LEFT(AI201,1),IF(AK201="",IF(AND(AK200&lt;&gt;"",AK202&lt;&gt;""),"Y","X"),"Y"))</f>
        <v>2.1.6.RX</v>
      </c>
      <c r="AK201" t="str">
        <f>IF(AND(AG201&lt;&gt;"",LEFT(AG201,1)&lt;&gt;"#"),IF(LEFT(AG201,1)="-",REPLACE(AG201,1,1,tech!$H$2),AG201),"")</f>
        <v/>
      </c>
      <c r="AL201" t="s">
        <v>495</v>
      </c>
      <c r="AM201" s="492" t="s">
        <v>878</v>
      </c>
      <c r="AN201" t="str">
        <f t="shared" ref="AN201:AN230" si="266">IF(AND(LEFT(AM201,1)="#",IFERROR(LEN(_xlfn.TEXTBEFORE(AM201," "))=3,0)),_xlfn.TEXTAFTER(AM201," "),AN200)</f>
        <v>Organizational PKI governance</v>
      </c>
      <c r="AO201" t="str">
        <f t="shared" ref="AO201:AO230" si="267">IF(AND(LEFT(AM201,1)="#",IFERROR(LEN(_xlfn.TEXTBEFORE(AM201," "))=4,0)),_xlfn.TEXTAFTER(AM201," "),AO200)</f>
        <v>Assessment</v>
      </c>
      <c r="AP201" t="str">
        <f t="shared" ref="AP201:AP230" si="268">_xlfn.CONCAT(IFERROR(VLOOKUP(AN201,AP$4:AQ$13,2,0),""),LEFT(AO201,1),IF(AQ201="",IF(AND(AQ200&lt;&gt;"",AQ202&lt;&gt;""),"Y","X"),"Y"))</f>
        <v>2.2.7.AY</v>
      </c>
      <c r="AQ201" t="str">
        <f>IF(AND(AM201&lt;&gt;"",LEFT(AM201,1)&lt;&gt;"#"),IF(LEFT(AM201,1)="-",REPLACE(AM201,1,1,tech!$H$2),AM201),"")</f>
        <v xml:space="preserve">  * Security to maintain a security base line across the whole organization</v>
      </c>
      <c r="AR201" t="s">
        <v>495</v>
      </c>
      <c r="AS201" s="492"/>
      <c r="AT201" t="str">
        <f t="shared" si="235"/>
        <v>Infrastructure activities are periodically reviewed</v>
      </c>
      <c r="AU201" t="str">
        <f t="shared" si="245"/>
        <v>References</v>
      </c>
      <c r="AV201" t="str">
        <f t="shared" si="213"/>
        <v>2.3.5.RX</v>
      </c>
      <c r="AW201" t="str">
        <f>IF(AND(AS201&lt;&gt;"",LEFT(AS201,1)&lt;&gt;"#"),IF(LEFT(AS201,1)="-",REPLACE(AS201,1,1,tech!$H$2),AS201),"")</f>
        <v/>
      </c>
      <c r="AX201" t="s">
        <v>495</v>
      </c>
      <c r="AY201" s="492"/>
      <c r="AZ201" t="str">
        <f t="shared" si="236"/>
        <v>Change management and agility is periodically reviewed</v>
      </c>
      <c r="BA201" t="str">
        <f t="shared" si="246"/>
        <v>References</v>
      </c>
      <c r="BB201" t="str">
        <f t="shared" si="214"/>
        <v>2.4.5.RX</v>
      </c>
      <c r="BC201" t="str">
        <f>IF(AND(AY201&lt;&gt;"",LEFT(AY201,1)&lt;&gt;"#"),IF(LEFT(AY201,1)="-",REPLACE(AY201,1,1,tech!$H$2),AY201),"")</f>
        <v/>
      </c>
      <c r="BD201" t="s">
        <v>495</v>
      </c>
      <c r="BE201" s="492"/>
      <c r="BF201" t="str">
        <f t="shared" si="237"/>
        <v>Continual review and improvement</v>
      </c>
      <c r="BG201" t="str">
        <f t="shared" si="247"/>
        <v>References</v>
      </c>
      <c r="BH201" t="str">
        <f t="shared" si="215"/>
        <v>3.1.6.RX</v>
      </c>
      <c r="BI201" t="str">
        <f>IF(AND(BE201&lt;&gt;"",LEFT(BE201,1)&lt;&gt;"#"),IF(LEFT(BE201,1)="-",REPLACE(BE201,1,1,tech!$H$2),BE201),"")</f>
        <v/>
      </c>
      <c r="BJ201" t="s">
        <v>495</v>
      </c>
      <c r="BK201" s="492"/>
      <c r="BL201" t="str">
        <f t="shared" si="238"/>
        <v>Adoption and application of open standards</v>
      </c>
      <c r="BM201" t="str">
        <f t="shared" si="248"/>
        <v>References</v>
      </c>
      <c r="BN201" t="str">
        <f t="shared" si="216"/>
        <v>3.2.3.RX</v>
      </c>
      <c r="BO201" t="str">
        <f>IF(AND(BK201&lt;&gt;"",LEFT(BK201,1)&lt;&gt;"#"),IF(LEFT(BK201,1)="-",REPLACE(BK201,1,1,tech!$H$2),BK201),"")</f>
        <v/>
      </c>
      <c r="BP201" t="s">
        <v>495</v>
      </c>
      <c r="BQ201" s="492"/>
      <c r="BR201" t="str">
        <f t="shared" si="239"/>
        <v>Review of events and logs is periodically performed</v>
      </c>
      <c r="BS201" t="str">
        <f t="shared" si="249"/>
        <v>References</v>
      </c>
      <c r="BT201" t="str">
        <f t="shared" si="217"/>
        <v>3.3.6.RX</v>
      </c>
      <c r="BU201" t="str">
        <f>IF(AND(BQ201&lt;&gt;"",LEFT(BQ201,1)&lt;&gt;"#"),IF(LEFT(BQ201,1)="-",REPLACE(BQ201,1,1,tech!$H$2),BQ201),"")</f>
        <v/>
      </c>
      <c r="BV201" t="s">
        <v>495</v>
      </c>
      <c r="BW201" s="492"/>
      <c r="BX201" t="str">
        <f t="shared" si="240"/>
        <v>Incidents and exceptions handling</v>
      </c>
      <c r="BY201" t="str">
        <f t="shared" si="250"/>
        <v>References</v>
      </c>
      <c r="BZ201" t="str">
        <f t="shared" si="218"/>
        <v>3.4.3.RX</v>
      </c>
      <c r="CA201" t="str">
        <f>IF(AND(BW201&lt;&gt;"",LEFT(BW201,1)&lt;&gt;"#"),IF(LEFT(BW201,1)="-",REPLACE(BW201,1,1,tech!$H$2),BW201),"")</f>
        <v/>
      </c>
      <c r="CB201" t="s">
        <v>495</v>
      </c>
      <c r="CC201" s="492"/>
      <c r="CD201" t="str">
        <f t="shared" si="241"/>
        <v>Resources are periodically reviewed</v>
      </c>
      <c r="CE201" t="str">
        <f t="shared" si="251"/>
        <v>References</v>
      </c>
      <c r="CF201" t="str">
        <f t="shared" si="219"/>
        <v>4.1.4.RX</v>
      </c>
      <c r="CG201" t="str">
        <f>IF(AND(CC201&lt;&gt;"",LEFT(CC201,1)&lt;&gt;"#"),IF(LEFT(CC201,1)="-",REPLACE(CC201,1,1,tech!$H$2),CC201),"")</f>
        <v/>
      </c>
      <c r="CH201" t="s">
        <v>495</v>
      </c>
      <c r="CI201" s="492"/>
      <c r="CJ201" t="str">
        <f t="shared" si="242"/>
        <v>Periodically review knowledge</v>
      </c>
      <c r="CK201" t="str">
        <f t="shared" si="252"/>
        <v>References</v>
      </c>
      <c r="CL201" t="str">
        <f t="shared" si="220"/>
        <v>4.2.5.RX</v>
      </c>
      <c r="CM201" t="str">
        <f>IF(AND(CI201&lt;&gt;"",LEFT(CI201,1)&lt;&gt;"#"),IF(LEFT(CI201,1)="-",REPLACE(CI201,1,1,tech!$H$2),CI201),"")</f>
        <v/>
      </c>
      <c r="CN201" t="s">
        <v>495</v>
      </c>
      <c r="CO201" s="492"/>
      <c r="CP201" t="str">
        <f t="shared" si="243"/>
        <v>Timely communication of important information</v>
      </c>
      <c r="CQ201" t="str">
        <f t="shared" si="253"/>
        <v>References</v>
      </c>
      <c r="CR201" t="str">
        <f t="shared" si="221"/>
        <v>4.3.4.RX</v>
      </c>
      <c r="CS201" t="str">
        <f>IF(AND(CO201&lt;&gt;"",LEFT(CO201,1)&lt;&gt;"#"),IF(LEFT(CO201,1)="-",REPLACE(CO201,1,1,tech!$H$2),CO201),"")</f>
        <v/>
      </c>
      <c r="CT201" t="s">
        <v>495</v>
      </c>
    </row>
    <row r="202" spans="15:98" x14ac:dyDescent="0.25">
      <c r="O202" s="492"/>
      <c r="P202" t="str">
        <f t="shared" si="254"/>
        <v>Policies are periodically reviewed and updated</v>
      </c>
      <c r="Q202" t="str">
        <f t="shared" si="255"/>
        <v>References</v>
      </c>
      <c r="R202" t="str">
        <f t="shared" si="256"/>
        <v>1.2.5.RX</v>
      </c>
      <c r="S202" t="str">
        <f>IF(AND(O202&lt;&gt;"",LEFT(O202,1)&lt;&gt;"#"),IF(LEFT(O202,1)="-",REPLACE(O202,1,1,tech!$H$2),O202),"")</f>
        <v/>
      </c>
      <c r="T202" t="s">
        <v>495</v>
      </c>
      <c r="U202" s="492"/>
      <c r="V202" t="str">
        <f t="shared" si="257"/>
        <v>List of relevant laws, regulations, and standards, exist and is maintained</v>
      </c>
      <c r="W202" t="str">
        <f t="shared" si="258"/>
        <v>References</v>
      </c>
      <c r="X202" t="str">
        <f t="shared" si="259"/>
        <v>1.3.4.RX</v>
      </c>
      <c r="Y202" t="str">
        <f>IF(AND(U202&lt;&gt;"",LEFT(U202,1)&lt;&gt;"#"),IF(LEFT(U202,1)="-",REPLACE(U202,1,1,tech!$H$2),U202),"")</f>
        <v/>
      </c>
      <c r="Z202" t="s">
        <v>495</v>
      </c>
      <c r="AA202" s="492"/>
      <c r="AB202" t="str">
        <f t="shared" si="260"/>
        <v>Processes and procedures are reviewed and updated</v>
      </c>
      <c r="AC202" t="str">
        <f t="shared" si="261"/>
        <v>References</v>
      </c>
      <c r="AD202" t="str">
        <f t="shared" si="262"/>
        <v>1.4.5.RX</v>
      </c>
      <c r="AE202" t="str">
        <f>IF(AND(AA202&lt;&gt;"",LEFT(AA202,1)&lt;&gt;"#"),IF(LEFT(AA202,1)="-",REPLACE(AA202,1,1,tech!$H$2),AA202),"")</f>
        <v/>
      </c>
      <c r="AF202" t="s">
        <v>495</v>
      </c>
      <c r="AG202" s="492"/>
      <c r="AH202" t="str">
        <f t="shared" si="263"/>
        <v>Key management is periodically reviewed and updated</v>
      </c>
      <c r="AI202" t="str">
        <f t="shared" si="264"/>
        <v>References</v>
      </c>
      <c r="AJ202" t="str">
        <f t="shared" si="265"/>
        <v>2.1.6.RX</v>
      </c>
      <c r="AK202" t="str">
        <f>IF(AND(AG202&lt;&gt;"",LEFT(AG202,1)&lt;&gt;"#"),IF(LEFT(AG202,1)="-",REPLACE(AG202,1,1,tech!$H$2),AG202),"")</f>
        <v/>
      </c>
      <c r="AL202" t="s">
        <v>495</v>
      </c>
      <c r="AM202" s="492"/>
      <c r="AN202" t="str">
        <f t="shared" si="266"/>
        <v>Organizational PKI governance</v>
      </c>
      <c r="AO202" t="str">
        <f t="shared" si="267"/>
        <v>Assessment</v>
      </c>
      <c r="AP202" t="str">
        <f t="shared" si="268"/>
        <v>2.2.7.AX</v>
      </c>
      <c r="AQ202" t="str">
        <f>IF(AND(AM202&lt;&gt;"",LEFT(AM202,1)&lt;&gt;"#"),IF(LEFT(AM202,1)="-",REPLACE(AM202,1,1,tech!$H$2),AM202),"")</f>
        <v/>
      </c>
      <c r="AR202" t="s">
        <v>495</v>
      </c>
      <c r="AS202" s="492"/>
      <c r="AT202" t="str">
        <f t="shared" si="235"/>
        <v>Infrastructure activities are periodically reviewed</v>
      </c>
      <c r="AU202" t="str">
        <f t="shared" si="245"/>
        <v>References</v>
      </c>
      <c r="AV202" t="str">
        <f t="shared" si="213"/>
        <v>2.3.5.RX</v>
      </c>
      <c r="AW202" t="str">
        <f>IF(AND(AS202&lt;&gt;"",LEFT(AS202,1)&lt;&gt;"#"),IF(LEFT(AS202,1)="-",REPLACE(AS202,1,1,tech!$H$2),AS202),"")</f>
        <v/>
      </c>
      <c r="AX202" t="s">
        <v>495</v>
      </c>
      <c r="AY202" s="492"/>
      <c r="AZ202" t="str">
        <f t="shared" si="236"/>
        <v>Change management and agility is periodically reviewed</v>
      </c>
      <c r="BA202" t="str">
        <f t="shared" si="246"/>
        <v>References</v>
      </c>
      <c r="BB202" t="str">
        <f t="shared" si="214"/>
        <v>2.4.5.RX</v>
      </c>
      <c r="BC202" t="str">
        <f>IF(AND(AY202&lt;&gt;"",LEFT(AY202,1)&lt;&gt;"#"),IF(LEFT(AY202,1)="-",REPLACE(AY202,1,1,tech!$H$2),AY202),"")</f>
        <v/>
      </c>
      <c r="BD202" t="s">
        <v>495</v>
      </c>
      <c r="BE202" s="492"/>
      <c r="BF202" t="str">
        <f t="shared" si="237"/>
        <v>Continual review and improvement</v>
      </c>
      <c r="BG202" t="str">
        <f t="shared" si="247"/>
        <v>References</v>
      </c>
      <c r="BH202" t="str">
        <f t="shared" si="215"/>
        <v>3.1.6.RX</v>
      </c>
      <c r="BI202" t="str">
        <f>IF(AND(BE202&lt;&gt;"",LEFT(BE202,1)&lt;&gt;"#"),IF(LEFT(BE202,1)="-",REPLACE(BE202,1,1,tech!$H$2),BE202),"")</f>
        <v/>
      </c>
      <c r="BJ202" t="s">
        <v>495</v>
      </c>
      <c r="BK202" s="492"/>
      <c r="BL202" t="str">
        <f t="shared" si="238"/>
        <v>Adoption and application of open standards</v>
      </c>
      <c r="BM202" t="str">
        <f t="shared" si="248"/>
        <v>References</v>
      </c>
      <c r="BN202" t="str">
        <f t="shared" si="216"/>
        <v>3.2.3.RX</v>
      </c>
      <c r="BO202" t="str">
        <f>IF(AND(BK202&lt;&gt;"",LEFT(BK202,1)&lt;&gt;"#"),IF(LEFT(BK202,1)="-",REPLACE(BK202,1,1,tech!$H$2),BK202),"")</f>
        <v/>
      </c>
      <c r="BP202" t="s">
        <v>495</v>
      </c>
      <c r="BQ202" s="492"/>
      <c r="BR202" t="str">
        <f t="shared" si="239"/>
        <v>Review of events and logs is periodically performed</v>
      </c>
      <c r="BS202" t="str">
        <f t="shared" si="249"/>
        <v>References</v>
      </c>
      <c r="BT202" t="str">
        <f t="shared" si="217"/>
        <v>3.3.6.RX</v>
      </c>
      <c r="BU202" t="str">
        <f>IF(AND(BQ202&lt;&gt;"",LEFT(BQ202,1)&lt;&gt;"#"),IF(LEFT(BQ202,1)="-",REPLACE(BQ202,1,1,tech!$H$2),BQ202),"")</f>
        <v/>
      </c>
      <c r="BV202" t="s">
        <v>495</v>
      </c>
      <c r="BW202" s="492"/>
      <c r="BX202" t="str">
        <f t="shared" si="240"/>
        <v>Incidents and exceptions handling</v>
      </c>
      <c r="BY202" t="str">
        <f t="shared" si="250"/>
        <v>References</v>
      </c>
      <c r="BZ202" t="str">
        <f t="shared" si="218"/>
        <v>3.4.3.RX</v>
      </c>
      <c r="CA202" t="str">
        <f>IF(AND(BW202&lt;&gt;"",LEFT(BW202,1)&lt;&gt;"#"),IF(LEFT(BW202,1)="-",REPLACE(BW202,1,1,tech!$H$2),BW202),"")</f>
        <v/>
      </c>
      <c r="CB202" t="s">
        <v>495</v>
      </c>
      <c r="CC202" s="492"/>
      <c r="CD202" t="str">
        <f t="shared" si="241"/>
        <v>Resources are periodically reviewed</v>
      </c>
      <c r="CE202" t="str">
        <f t="shared" si="251"/>
        <v>References</v>
      </c>
      <c r="CF202" t="str">
        <f t="shared" si="219"/>
        <v>4.1.4.RX</v>
      </c>
      <c r="CG202" t="str">
        <f>IF(AND(CC202&lt;&gt;"",LEFT(CC202,1)&lt;&gt;"#"),IF(LEFT(CC202,1)="-",REPLACE(CC202,1,1,tech!$H$2),CC202),"")</f>
        <v/>
      </c>
      <c r="CH202" t="s">
        <v>495</v>
      </c>
      <c r="CI202" s="492"/>
      <c r="CJ202" t="str">
        <f t="shared" si="242"/>
        <v>Periodically review knowledge</v>
      </c>
      <c r="CK202" t="str">
        <f t="shared" si="252"/>
        <v>References</v>
      </c>
      <c r="CL202" t="str">
        <f t="shared" si="220"/>
        <v>4.2.5.RX</v>
      </c>
      <c r="CM202" t="str">
        <f>IF(AND(CI202&lt;&gt;"",LEFT(CI202,1)&lt;&gt;"#"),IF(LEFT(CI202,1)="-",REPLACE(CI202,1,1,tech!$H$2),CI202),"")</f>
        <v/>
      </c>
      <c r="CN202" t="s">
        <v>495</v>
      </c>
      <c r="CO202" s="492"/>
      <c r="CP202" t="str">
        <f t="shared" si="243"/>
        <v>Timely communication of important information</v>
      </c>
      <c r="CQ202" t="str">
        <f t="shared" si="253"/>
        <v>References</v>
      </c>
      <c r="CR202" t="str">
        <f t="shared" si="221"/>
        <v>4.3.4.RX</v>
      </c>
      <c r="CS202" t="str">
        <f>IF(AND(CO202&lt;&gt;"",LEFT(CO202,1)&lt;&gt;"#"),IF(LEFT(CO202,1)="-",REPLACE(CO202,1,1,tech!$H$2),CO202),"")</f>
        <v/>
      </c>
      <c r="CT202" t="s">
        <v>495</v>
      </c>
    </row>
    <row r="203" spans="15:98" x14ac:dyDescent="0.25">
      <c r="O203" s="492"/>
      <c r="P203" t="str">
        <f t="shared" si="254"/>
        <v>Policies are periodically reviewed and updated</v>
      </c>
      <c r="Q203" t="str">
        <f t="shared" si="255"/>
        <v>References</v>
      </c>
      <c r="R203" t="str">
        <f t="shared" si="256"/>
        <v>1.2.5.RX</v>
      </c>
      <c r="S203" t="str">
        <f>IF(AND(O203&lt;&gt;"",LEFT(O203,1)&lt;&gt;"#"),IF(LEFT(O203,1)="-",REPLACE(O203,1,1,tech!$H$2),O203),"")</f>
        <v/>
      </c>
      <c r="T203" t="s">
        <v>495</v>
      </c>
      <c r="U203" s="492"/>
      <c r="V203" t="str">
        <f t="shared" si="257"/>
        <v>List of relevant laws, regulations, and standards, exist and is maintained</v>
      </c>
      <c r="W203" t="str">
        <f t="shared" si="258"/>
        <v>References</v>
      </c>
      <c r="X203" t="str">
        <f t="shared" si="259"/>
        <v>1.3.4.RX</v>
      </c>
      <c r="Y203" t="str">
        <f>IF(AND(U203&lt;&gt;"",LEFT(U203,1)&lt;&gt;"#"),IF(LEFT(U203,1)="-",REPLACE(U203,1,1,tech!$H$2),U203),"")</f>
        <v/>
      </c>
      <c r="Z203" t="s">
        <v>495</v>
      </c>
      <c r="AA203" s="492"/>
      <c r="AB203" t="str">
        <f t="shared" si="260"/>
        <v>Processes and procedures are reviewed and updated</v>
      </c>
      <c r="AC203" t="str">
        <f t="shared" si="261"/>
        <v>References</v>
      </c>
      <c r="AD203" t="str">
        <f t="shared" si="262"/>
        <v>1.4.5.RX</v>
      </c>
      <c r="AE203" t="str">
        <f>IF(AND(AA203&lt;&gt;"",LEFT(AA203,1)&lt;&gt;"#"),IF(LEFT(AA203,1)="-",REPLACE(AA203,1,1,tech!$H$2),AA203),"")</f>
        <v/>
      </c>
      <c r="AF203" t="s">
        <v>495</v>
      </c>
      <c r="AG203" s="492"/>
      <c r="AH203" t="str">
        <f t="shared" si="263"/>
        <v>Key management is periodically reviewed and updated</v>
      </c>
      <c r="AI203" t="str">
        <f t="shared" si="264"/>
        <v>References</v>
      </c>
      <c r="AJ203" t="str">
        <f t="shared" si="265"/>
        <v>2.1.6.RX</v>
      </c>
      <c r="AK203" t="str">
        <f>IF(AND(AG203&lt;&gt;"",LEFT(AG203,1)&lt;&gt;"#"),IF(LEFT(AG203,1)="-",REPLACE(AG203,1,1,tech!$H$2),AG203),"")</f>
        <v/>
      </c>
      <c r="AL203" t="s">
        <v>495</v>
      </c>
      <c r="AM203" s="492" t="s">
        <v>503</v>
      </c>
      <c r="AN203" t="str">
        <f t="shared" si="266"/>
        <v>Organizational PKI governance</v>
      </c>
      <c r="AO203" t="str">
        <f t="shared" si="267"/>
        <v>References</v>
      </c>
      <c r="AP203" t="str">
        <f t="shared" si="268"/>
        <v>2.2.7.RX</v>
      </c>
      <c r="AQ203" t="str">
        <f>IF(AND(AM203&lt;&gt;"",LEFT(AM203,1)&lt;&gt;"#"),IF(LEFT(AM203,1)="-",REPLACE(AM203,1,1,tech!$H$2),AM203),"")</f>
        <v/>
      </c>
      <c r="AR203" t="s">
        <v>495</v>
      </c>
      <c r="AS203" s="492"/>
      <c r="AT203" t="str">
        <f t="shared" si="235"/>
        <v>Infrastructure activities are periodically reviewed</v>
      </c>
      <c r="AU203" t="str">
        <f t="shared" si="245"/>
        <v>References</v>
      </c>
      <c r="AV203" t="str">
        <f t="shared" si="213"/>
        <v>2.3.5.RX</v>
      </c>
      <c r="AW203" t="str">
        <f>IF(AND(AS203&lt;&gt;"",LEFT(AS203,1)&lt;&gt;"#"),IF(LEFT(AS203,1)="-",REPLACE(AS203,1,1,tech!$H$2),AS203),"")</f>
        <v/>
      </c>
      <c r="AX203" t="s">
        <v>495</v>
      </c>
      <c r="AY203" s="492"/>
      <c r="AZ203" t="str">
        <f t="shared" si="236"/>
        <v>Change management and agility is periodically reviewed</v>
      </c>
      <c r="BA203" t="str">
        <f t="shared" si="246"/>
        <v>References</v>
      </c>
      <c r="BB203" t="str">
        <f t="shared" si="214"/>
        <v>2.4.5.RX</v>
      </c>
      <c r="BC203" t="str">
        <f>IF(AND(AY203&lt;&gt;"",LEFT(AY203,1)&lt;&gt;"#"),IF(LEFT(AY203,1)="-",REPLACE(AY203,1,1,tech!$H$2),AY203),"")</f>
        <v/>
      </c>
      <c r="BD203" t="s">
        <v>495</v>
      </c>
      <c r="BE203" s="492"/>
      <c r="BF203" t="str">
        <f t="shared" si="237"/>
        <v>Continual review and improvement</v>
      </c>
      <c r="BG203" t="str">
        <f t="shared" si="247"/>
        <v>References</v>
      </c>
      <c r="BH203" t="str">
        <f t="shared" si="215"/>
        <v>3.1.6.RX</v>
      </c>
      <c r="BI203" t="str">
        <f>IF(AND(BE203&lt;&gt;"",LEFT(BE203,1)&lt;&gt;"#"),IF(LEFT(BE203,1)="-",REPLACE(BE203,1,1,tech!$H$2),BE203),"")</f>
        <v/>
      </c>
      <c r="BJ203" t="s">
        <v>495</v>
      </c>
      <c r="BK203" s="492"/>
      <c r="BL203" t="str">
        <f t="shared" si="238"/>
        <v>Adoption and application of open standards</v>
      </c>
      <c r="BM203" t="str">
        <f t="shared" si="248"/>
        <v>References</v>
      </c>
      <c r="BN203" t="str">
        <f t="shared" si="216"/>
        <v>3.2.3.RX</v>
      </c>
      <c r="BO203" t="str">
        <f>IF(AND(BK203&lt;&gt;"",LEFT(BK203,1)&lt;&gt;"#"),IF(LEFT(BK203,1)="-",REPLACE(BK203,1,1,tech!$H$2),BK203),"")</f>
        <v/>
      </c>
      <c r="BP203" t="s">
        <v>495</v>
      </c>
      <c r="BQ203" s="492"/>
      <c r="BR203" t="str">
        <f t="shared" si="239"/>
        <v>Review of events and logs is periodically performed</v>
      </c>
      <c r="BS203" t="str">
        <f t="shared" si="249"/>
        <v>References</v>
      </c>
      <c r="BT203" t="str">
        <f t="shared" si="217"/>
        <v>3.3.6.RX</v>
      </c>
      <c r="BU203" t="str">
        <f>IF(AND(BQ203&lt;&gt;"",LEFT(BQ203,1)&lt;&gt;"#"),IF(LEFT(BQ203,1)="-",REPLACE(BQ203,1,1,tech!$H$2),BQ203),"")</f>
        <v/>
      </c>
      <c r="BV203" t="s">
        <v>495</v>
      </c>
      <c r="BW203" s="492"/>
      <c r="BX203" t="str">
        <f t="shared" si="240"/>
        <v>Incidents and exceptions handling</v>
      </c>
      <c r="BY203" t="str">
        <f t="shared" si="250"/>
        <v>References</v>
      </c>
      <c r="BZ203" t="str">
        <f t="shared" si="218"/>
        <v>3.4.3.RX</v>
      </c>
      <c r="CA203" t="str">
        <f>IF(AND(BW203&lt;&gt;"",LEFT(BW203,1)&lt;&gt;"#"),IF(LEFT(BW203,1)="-",REPLACE(BW203,1,1,tech!$H$2),BW203),"")</f>
        <v/>
      </c>
      <c r="CB203" t="s">
        <v>495</v>
      </c>
      <c r="CC203" s="492"/>
      <c r="CD203" t="str">
        <f t="shared" si="241"/>
        <v>Resources are periodically reviewed</v>
      </c>
      <c r="CE203" t="str">
        <f t="shared" si="251"/>
        <v>References</v>
      </c>
      <c r="CF203" t="str">
        <f t="shared" si="219"/>
        <v>4.1.4.RX</v>
      </c>
      <c r="CG203" t="str">
        <f>IF(AND(CC203&lt;&gt;"",LEFT(CC203,1)&lt;&gt;"#"),IF(LEFT(CC203,1)="-",REPLACE(CC203,1,1,tech!$H$2),CC203),"")</f>
        <v/>
      </c>
      <c r="CH203" t="s">
        <v>495</v>
      </c>
      <c r="CI203" s="492"/>
      <c r="CJ203" t="str">
        <f t="shared" si="242"/>
        <v>Periodically review knowledge</v>
      </c>
      <c r="CK203" t="str">
        <f t="shared" si="252"/>
        <v>References</v>
      </c>
      <c r="CL203" t="str">
        <f t="shared" si="220"/>
        <v>4.2.5.RX</v>
      </c>
      <c r="CM203" t="str">
        <f>IF(AND(CI203&lt;&gt;"",LEFT(CI203,1)&lt;&gt;"#"),IF(LEFT(CI203,1)="-",REPLACE(CI203,1,1,tech!$H$2),CI203),"")</f>
        <v/>
      </c>
      <c r="CN203" t="s">
        <v>495</v>
      </c>
      <c r="CO203" s="492"/>
      <c r="CP203" t="str">
        <f t="shared" si="243"/>
        <v>Timely communication of important information</v>
      </c>
      <c r="CQ203" t="str">
        <f t="shared" si="253"/>
        <v>References</v>
      </c>
      <c r="CR203" t="str">
        <f t="shared" si="221"/>
        <v>4.3.4.RX</v>
      </c>
      <c r="CS203" t="str">
        <f>IF(AND(CO203&lt;&gt;"",LEFT(CO203,1)&lt;&gt;"#"),IF(LEFT(CO203,1)="-",REPLACE(CO203,1,1,tech!$H$2),CO203),"")</f>
        <v/>
      </c>
      <c r="CT203" t="s">
        <v>495</v>
      </c>
    </row>
    <row r="204" spans="15:98" x14ac:dyDescent="0.25">
      <c r="O204" s="492"/>
      <c r="P204" t="str">
        <f t="shared" si="254"/>
        <v>Policies are periodically reviewed and updated</v>
      </c>
      <c r="Q204" t="str">
        <f t="shared" si="255"/>
        <v>References</v>
      </c>
      <c r="R204" t="str">
        <f t="shared" si="256"/>
        <v>1.2.5.RX</v>
      </c>
      <c r="S204" t="str">
        <f>IF(AND(O204&lt;&gt;"",LEFT(O204,1)&lt;&gt;"#"),IF(LEFT(O204,1)="-",REPLACE(O204,1,1,tech!$H$2),O204),"")</f>
        <v/>
      </c>
      <c r="T204" t="s">
        <v>495</v>
      </c>
      <c r="U204" s="492"/>
      <c r="V204" t="str">
        <f t="shared" si="257"/>
        <v>List of relevant laws, regulations, and standards, exist and is maintained</v>
      </c>
      <c r="W204" t="str">
        <f t="shared" si="258"/>
        <v>References</v>
      </c>
      <c r="X204" t="str">
        <f t="shared" si="259"/>
        <v>1.3.4.RX</v>
      </c>
      <c r="Y204" t="str">
        <f>IF(AND(U204&lt;&gt;"",LEFT(U204,1)&lt;&gt;"#"),IF(LEFT(U204,1)="-",REPLACE(U204,1,1,tech!$H$2),U204),"")</f>
        <v/>
      </c>
      <c r="Z204" t="s">
        <v>495</v>
      </c>
      <c r="AA204" s="492"/>
      <c r="AB204" t="str">
        <f t="shared" si="260"/>
        <v>Processes and procedures are reviewed and updated</v>
      </c>
      <c r="AC204" t="str">
        <f t="shared" si="261"/>
        <v>References</v>
      </c>
      <c r="AD204" t="str">
        <f t="shared" si="262"/>
        <v>1.4.5.RX</v>
      </c>
      <c r="AE204" t="str">
        <f>IF(AND(AA204&lt;&gt;"",LEFT(AA204,1)&lt;&gt;"#"),IF(LEFT(AA204,1)="-",REPLACE(AA204,1,1,tech!$H$2),AA204),"")</f>
        <v/>
      </c>
      <c r="AF204" t="s">
        <v>495</v>
      </c>
      <c r="AG204" s="492"/>
      <c r="AH204" t="str">
        <f t="shared" si="263"/>
        <v>Key management is periodically reviewed and updated</v>
      </c>
      <c r="AI204" t="str">
        <f t="shared" si="264"/>
        <v>References</v>
      </c>
      <c r="AJ204" t="str">
        <f t="shared" si="265"/>
        <v>2.1.6.RX</v>
      </c>
      <c r="AK204" t="str">
        <f>IF(AND(AG204&lt;&gt;"",LEFT(AG204,1)&lt;&gt;"#"),IF(LEFT(AG204,1)="-",REPLACE(AG204,1,1,tech!$H$2),AG204),"")</f>
        <v/>
      </c>
      <c r="AL204" t="s">
        <v>495</v>
      </c>
      <c r="AM204" s="492"/>
      <c r="AN204" t="str">
        <f t="shared" si="266"/>
        <v>Organizational PKI governance</v>
      </c>
      <c r="AO204" t="str">
        <f t="shared" si="267"/>
        <v>References</v>
      </c>
      <c r="AP204" t="str">
        <f t="shared" si="268"/>
        <v>2.2.7.RX</v>
      </c>
      <c r="AQ204" t="str">
        <f>IF(AND(AM204&lt;&gt;"",LEFT(AM204,1)&lt;&gt;"#"),IF(LEFT(AM204,1)="-",REPLACE(AM204,1,1,tech!$H$2),AM204),"")</f>
        <v/>
      </c>
      <c r="AR204" t="s">
        <v>495</v>
      </c>
      <c r="AS204" s="492"/>
      <c r="AT204" t="str">
        <f t="shared" si="235"/>
        <v>Infrastructure activities are periodically reviewed</v>
      </c>
      <c r="AU204" t="str">
        <f t="shared" si="245"/>
        <v>References</v>
      </c>
      <c r="AV204" t="str">
        <f t="shared" si="213"/>
        <v>2.3.5.RX</v>
      </c>
      <c r="AW204" t="str">
        <f>IF(AND(AS204&lt;&gt;"",LEFT(AS204,1)&lt;&gt;"#"),IF(LEFT(AS204,1)="-",REPLACE(AS204,1,1,tech!$H$2),AS204),"")</f>
        <v/>
      </c>
      <c r="AX204" t="s">
        <v>495</v>
      </c>
      <c r="AY204" s="492"/>
      <c r="AZ204" t="str">
        <f t="shared" si="236"/>
        <v>Change management and agility is periodically reviewed</v>
      </c>
      <c r="BA204" t="str">
        <f t="shared" si="246"/>
        <v>References</v>
      </c>
      <c r="BB204" t="str">
        <f t="shared" si="214"/>
        <v>2.4.5.RX</v>
      </c>
      <c r="BC204" t="str">
        <f>IF(AND(AY204&lt;&gt;"",LEFT(AY204,1)&lt;&gt;"#"),IF(LEFT(AY204,1)="-",REPLACE(AY204,1,1,tech!$H$2),AY204),"")</f>
        <v/>
      </c>
      <c r="BD204" t="s">
        <v>495</v>
      </c>
      <c r="BE204" s="492"/>
      <c r="BF204" t="str">
        <f t="shared" si="237"/>
        <v>Continual review and improvement</v>
      </c>
      <c r="BG204" t="str">
        <f t="shared" si="247"/>
        <v>References</v>
      </c>
      <c r="BH204" t="str">
        <f t="shared" si="215"/>
        <v>3.1.6.RX</v>
      </c>
      <c r="BI204" t="str">
        <f>IF(AND(BE204&lt;&gt;"",LEFT(BE204,1)&lt;&gt;"#"),IF(LEFT(BE204,1)="-",REPLACE(BE204,1,1,tech!$H$2),BE204),"")</f>
        <v/>
      </c>
      <c r="BJ204" t="s">
        <v>495</v>
      </c>
      <c r="BK204" s="492"/>
      <c r="BL204" t="str">
        <f t="shared" si="238"/>
        <v>Adoption and application of open standards</v>
      </c>
      <c r="BM204" t="str">
        <f t="shared" si="248"/>
        <v>References</v>
      </c>
      <c r="BN204" t="str">
        <f t="shared" si="216"/>
        <v>3.2.3.RX</v>
      </c>
      <c r="BO204" t="str">
        <f>IF(AND(BK204&lt;&gt;"",LEFT(BK204,1)&lt;&gt;"#"),IF(LEFT(BK204,1)="-",REPLACE(BK204,1,1,tech!$H$2),BK204),"")</f>
        <v/>
      </c>
      <c r="BP204" t="s">
        <v>495</v>
      </c>
      <c r="BQ204" s="492"/>
      <c r="BR204" t="str">
        <f t="shared" si="239"/>
        <v>Review of events and logs is periodically performed</v>
      </c>
      <c r="BS204" t="str">
        <f t="shared" si="249"/>
        <v>References</v>
      </c>
      <c r="BT204" t="str">
        <f t="shared" si="217"/>
        <v>3.3.6.RX</v>
      </c>
      <c r="BU204" t="str">
        <f>IF(AND(BQ204&lt;&gt;"",LEFT(BQ204,1)&lt;&gt;"#"),IF(LEFT(BQ204,1)="-",REPLACE(BQ204,1,1,tech!$H$2),BQ204),"")</f>
        <v/>
      </c>
      <c r="BV204" t="s">
        <v>495</v>
      </c>
      <c r="BW204" s="492"/>
      <c r="BX204" t="str">
        <f t="shared" si="240"/>
        <v>Incidents and exceptions handling</v>
      </c>
      <c r="BY204" t="str">
        <f t="shared" si="250"/>
        <v>References</v>
      </c>
      <c r="BZ204" t="str">
        <f t="shared" si="218"/>
        <v>3.4.3.RX</v>
      </c>
      <c r="CA204" t="str">
        <f>IF(AND(BW204&lt;&gt;"",LEFT(BW204,1)&lt;&gt;"#"),IF(LEFT(BW204,1)="-",REPLACE(BW204,1,1,tech!$H$2),BW204),"")</f>
        <v/>
      </c>
      <c r="CB204" t="s">
        <v>495</v>
      </c>
      <c r="CC204" s="492"/>
      <c r="CD204" t="str">
        <f t="shared" si="241"/>
        <v>Resources are periodically reviewed</v>
      </c>
      <c r="CE204" t="str">
        <f t="shared" si="251"/>
        <v>References</v>
      </c>
      <c r="CF204" t="str">
        <f t="shared" si="219"/>
        <v>4.1.4.RX</v>
      </c>
      <c r="CG204" t="str">
        <f>IF(AND(CC204&lt;&gt;"",LEFT(CC204,1)&lt;&gt;"#"),IF(LEFT(CC204,1)="-",REPLACE(CC204,1,1,tech!$H$2),CC204),"")</f>
        <v/>
      </c>
      <c r="CH204" t="s">
        <v>495</v>
      </c>
      <c r="CI204" s="492"/>
      <c r="CJ204" t="str">
        <f t="shared" si="242"/>
        <v>Periodically review knowledge</v>
      </c>
      <c r="CK204" t="str">
        <f t="shared" si="252"/>
        <v>References</v>
      </c>
      <c r="CL204" t="str">
        <f t="shared" si="220"/>
        <v>4.2.5.RX</v>
      </c>
      <c r="CM204" t="str">
        <f>IF(AND(CI204&lt;&gt;"",LEFT(CI204,1)&lt;&gt;"#"),IF(LEFT(CI204,1)="-",REPLACE(CI204,1,1,tech!$H$2),CI204),"")</f>
        <v/>
      </c>
      <c r="CN204" t="s">
        <v>495</v>
      </c>
      <c r="CO204" s="492"/>
      <c r="CP204" t="str">
        <f t="shared" si="243"/>
        <v>Timely communication of important information</v>
      </c>
      <c r="CQ204" t="str">
        <f t="shared" si="253"/>
        <v>References</v>
      </c>
      <c r="CR204" t="str">
        <f t="shared" si="221"/>
        <v>4.3.4.RX</v>
      </c>
      <c r="CS204" t="str">
        <f>IF(AND(CO204&lt;&gt;"",LEFT(CO204,1)&lt;&gt;"#"),IF(LEFT(CO204,1)="-",REPLACE(CO204,1,1,tech!$H$2),CO204),"")</f>
        <v/>
      </c>
      <c r="CT204" t="s">
        <v>495</v>
      </c>
    </row>
    <row r="205" spans="15:98" x14ac:dyDescent="0.25">
      <c r="O205" s="492"/>
      <c r="P205" t="str">
        <f t="shared" si="254"/>
        <v>Policies are periodically reviewed and updated</v>
      </c>
      <c r="Q205" t="str">
        <f t="shared" si="255"/>
        <v>References</v>
      </c>
      <c r="R205" t="str">
        <f t="shared" si="256"/>
        <v>1.2.5.RX</v>
      </c>
      <c r="S205" t="str">
        <f>IF(AND(O205&lt;&gt;"",LEFT(O205,1)&lt;&gt;"#"),IF(LEFT(O205,1)="-",REPLACE(O205,1,1,tech!$H$2),O205),"")</f>
        <v/>
      </c>
      <c r="T205" t="s">
        <v>495</v>
      </c>
      <c r="U205" s="492"/>
      <c r="V205" t="str">
        <f t="shared" si="257"/>
        <v>List of relevant laws, regulations, and standards, exist and is maintained</v>
      </c>
      <c r="W205" t="str">
        <f t="shared" si="258"/>
        <v>References</v>
      </c>
      <c r="X205" t="str">
        <f t="shared" si="259"/>
        <v>1.3.4.RX</v>
      </c>
      <c r="Y205" t="str">
        <f>IF(AND(U205&lt;&gt;"",LEFT(U205,1)&lt;&gt;"#"),IF(LEFT(U205,1)="-",REPLACE(U205,1,1,tech!$H$2),U205),"")</f>
        <v/>
      </c>
      <c r="Z205" t="s">
        <v>495</v>
      </c>
      <c r="AA205" s="492"/>
      <c r="AB205" t="str">
        <f t="shared" si="260"/>
        <v>Processes and procedures are reviewed and updated</v>
      </c>
      <c r="AC205" t="str">
        <f t="shared" si="261"/>
        <v>References</v>
      </c>
      <c r="AD205" t="str">
        <f t="shared" si="262"/>
        <v>1.4.5.RX</v>
      </c>
      <c r="AE205" t="str">
        <f>IF(AND(AA205&lt;&gt;"",LEFT(AA205,1)&lt;&gt;"#"),IF(LEFT(AA205,1)="-",REPLACE(AA205,1,1,tech!$H$2),AA205),"")</f>
        <v/>
      </c>
      <c r="AF205" t="s">
        <v>495</v>
      </c>
      <c r="AG205" s="492"/>
      <c r="AH205" t="str">
        <f t="shared" si="263"/>
        <v>Key management is periodically reviewed and updated</v>
      </c>
      <c r="AI205" t="str">
        <f t="shared" si="264"/>
        <v>References</v>
      </c>
      <c r="AJ205" t="str">
        <f t="shared" si="265"/>
        <v>2.1.6.RX</v>
      </c>
      <c r="AK205" t="str">
        <f>IF(AND(AG205&lt;&gt;"",LEFT(AG205,1)&lt;&gt;"#"),IF(LEFT(AG205,1)="-",REPLACE(AG205,1,1,tech!$H$2),AG205),"")</f>
        <v/>
      </c>
      <c r="AL205" t="s">
        <v>495</v>
      </c>
      <c r="AM205" s="492" t="s">
        <v>55</v>
      </c>
      <c r="AN205" t="str">
        <f t="shared" si="266"/>
        <v>Organizational PKI governance</v>
      </c>
      <c r="AO205" t="str">
        <f t="shared" si="267"/>
        <v>References</v>
      </c>
      <c r="AP205" t="str">
        <f t="shared" si="268"/>
        <v>2.2.7.RY</v>
      </c>
      <c r="AQ205" t="str">
        <f>IF(AND(AM205&lt;&gt;"",LEFT(AM205,1)&lt;&gt;"#"),IF(LEFT(AM205,1)="-",REPLACE(AM205,1,1,tech!$H$2),AM205),"")</f>
        <v>N/A</v>
      </c>
      <c r="AR205" t="s">
        <v>495</v>
      </c>
      <c r="AS205" s="492"/>
      <c r="AT205" t="str">
        <f t="shared" si="235"/>
        <v>Infrastructure activities are periodically reviewed</v>
      </c>
      <c r="AU205" t="str">
        <f t="shared" si="245"/>
        <v>References</v>
      </c>
      <c r="AV205" t="str">
        <f t="shared" si="213"/>
        <v>2.3.5.RX</v>
      </c>
      <c r="AW205" t="str">
        <f>IF(AND(AS205&lt;&gt;"",LEFT(AS205,1)&lt;&gt;"#"),IF(LEFT(AS205,1)="-",REPLACE(AS205,1,1,tech!$H$2),AS205),"")</f>
        <v/>
      </c>
      <c r="AX205" t="s">
        <v>495</v>
      </c>
      <c r="AY205" s="492"/>
      <c r="AZ205" t="str">
        <f t="shared" si="236"/>
        <v>Change management and agility is periodically reviewed</v>
      </c>
      <c r="BA205" t="str">
        <f t="shared" si="246"/>
        <v>References</v>
      </c>
      <c r="BB205" t="str">
        <f t="shared" si="214"/>
        <v>2.4.5.RX</v>
      </c>
      <c r="BC205" t="str">
        <f>IF(AND(AY205&lt;&gt;"",LEFT(AY205,1)&lt;&gt;"#"),IF(LEFT(AY205,1)="-",REPLACE(AY205,1,1,tech!$H$2),AY205),"")</f>
        <v/>
      </c>
      <c r="BD205" t="s">
        <v>495</v>
      </c>
      <c r="BE205" s="492"/>
      <c r="BF205" t="str">
        <f t="shared" si="237"/>
        <v>Continual review and improvement</v>
      </c>
      <c r="BG205" t="str">
        <f t="shared" si="247"/>
        <v>References</v>
      </c>
      <c r="BH205" t="str">
        <f t="shared" si="215"/>
        <v>3.1.6.RX</v>
      </c>
      <c r="BI205" t="str">
        <f>IF(AND(BE205&lt;&gt;"",LEFT(BE205,1)&lt;&gt;"#"),IF(LEFT(BE205,1)="-",REPLACE(BE205,1,1,tech!$H$2),BE205),"")</f>
        <v/>
      </c>
      <c r="BJ205" t="s">
        <v>495</v>
      </c>
      <c r="BK205" s="492"/>
      <c r="BL205" t="str">
        <f t="shared" si="238"/>
        <v>Adoption and application of open standards</v>
      </c>
      <c r="BM205" t="str">
        <f t="shared" si="248"/>
        <v>References</v>
      </c>
      <c r="BN205" t="str">
        <f t="shared" si="216"/>
        <v>3.2.3.RX</v>
      </c>
      <c r="BO205" t="str">
        <f>IF(AND(BK205&lt;&gt;"",LEFT(BK205,1)&lt;&gt;"#"),IF(LEFT(BK205,1)="-",REPLACE(BK205,1,1,tech!$H$2),BK205),"")</f>
        <v/>
      </c>
      <c r="BP205" t="s">
        <v>495</v>
      </c>
      <c r="BQ205" s="492"/>
      <c r="BR205" t="str">
        <f t="shared" si="239"/>
        <v>Review of events and logs is periodically performed</v>
      </c>
      <c r="BS205" t="str">
        <f t="shared" si="249"/>
        <v>References</v>
      </c>
      <c r="BT205" t="str">
        <f t="shared" si="217"/>
        <v>3.3.6.RX</v>
      </c>
      <c r="BU205" t="str">
        <f>IF(AND(BQ205&lt;&gt;"",LEFT(BQ205,1)&lt;&gt;"#"),IF(LEFT(BQ205,1)="-",REPLACE(BQ205,1,1,tech!$H$2),BQ205),"")</f>
        <v/>
      </c>
      <c r="BV205" t="s">
        <v>495</v>
      </c>
      <c r="BW205" s="492"/>
      <c r="BX205" t="str">
        <f t="shared" si="240"/>
        <v>Incidents and exceptions handling</v>
      </c>
      <c r="BY205" t="str">
        <f t="shared" si="250"/>
        <v>References</v>
      </c>
      <c r="BZ205" t="str">
        <f t="shared" si="218"/>
        <v>3.4.3.RX</v>
      </c>
      <c r="CA205" t="str">
        <f>IF(AND(BW205&lt;&gt;"",LEFT(BW205,1)&lt;&gt;"#"),IF(LEFT(BW205,1)="-",REPLACE(BW205,1,1,tech!$H$2),BW205),"")</f>
        <v/>
      </c>
      <c r="CB205" t="s">
        <v>495</v>
      </c>
      <c r="CC205" s="492"/>
      <c r="CD205" t="str">
        <f t="shared" si="241"/>
        <v>Resources are periodically reviewed</v>
      </c>
      <c r="CE205" t="str">
        <f t="shared" si="251"/>
        <v>References</v>
      </c>
      <c r="CF205" t="str">
        <f t="shared" si="219"/>
        <v>4.1.4.RX</v>
      </c>
      <c r="CG205" t="str">
        <f>IF(AND(CC205&lt;&gt;"",LEFT(CC205,1)&lt;&gt;"#"),IF(LEFT(CC205,1)="-",REPLACE(CC205,1,1,tech!$H$2),CC205),"")</f>
        <v/>
      </c>
      <c r="CH205" t="s">
        <v>495</v>
      </c>
      <c r="CI205" s="492"/>
      <c r="CJ205" t="str">
        <f t="shared" si="242"/>
        <v>Periodically review knowledge</v>
      </c>
      <c r="CK205" t="str">
        <f t="shared" si="252"/>
        <v>References</v>
      </c>
      <c r="CL205" t="str">
        <f t="shared" si="220"/>
        <v>4.2.5.RX</v>
      </c>
      <c r="CM205" t="str">
        <f>IF(AND(CI205&lt;&gt;"",LEFT(CI205,1)&lt;&gt;"#"),IF(LEFT(CI205,1)="-",REPLACE(CI205,1,1,tech!$H$2),CI205),"")</f>
        <v/>
      </c>
      <c r="CN205" t="s">
        <v>495</v>
      </c>
      <c r="CO205" s="492"/>
      <c r="CP205" t="str">
        <f t="shared" si="243"/>
        <v>Timely communication of important information</v>
      </c>
      <c r="CQ205" t="str">
        <f t="shared" si="253"/>
        <v>References</v>
      </c>
      <c r="CR205" t="str">
        <f t="shared" si="221"/>
        <v>4.3.4.RX</v>
      </c>
      <c r="CS205" t="str">
        <f>IF(AND(CO205&lt;&gt;"",LEFT(CO205,1)&lt;&gt;"#"),IF(LEFT(CO205,1)="-",REPLACE(CO205,1,1,tech!$H$2),CO205),"")</f>
        <v/>
      </c>
      <c r="CT205" t="s">
        <v>495</v>
      </c>
    </row>
    <row r="206" spans="15:98" x14ac:dyDescent="0.25">
      <c r="O206" s="492"/>
      <c r="P206" t="str">
        <f t="shared" si="254"/>
        <v>Policies are periodically reviewed and updated</v>
      </c>
      <c r="Q206" t="str">
        <f t="shared" si="255"/>
        <v>References</v>
      </c>
      <c r="R206" t="str">
        <f t="shared" si="256"/>
        <v>1.2.5.RX</v>
      </c>
      <c r="S206" t="str">
        <f>IF(AND(O206&lt;&gt;"",LEFT(O206,1)&lt;&gt;"#"),IF(LEFT(O206,1)="-",REPLACE(O206,1,1,tech!$H$2),O206),"")</f>
        <v/>
      </c>
      <c r="T206" t="s">
        <v>495</v>
      </c>
      <c r="U206" s="492"/>
      <c r="V206" t="str">
        <f t="shared" si="257"/>
        <v>List of relevant laws, regulations, and standards, exist and is maintained</v>
      </c>
      <c r="W206" t="str">
        <f t="shared" si="258"/>
        <v>References</v>
      </c>
      <c r="X206" t="str">
        <f t="shared" si="259"/>
        <v>1.3.4.RX</v>
      </c>
      <c r="Y206" t="str">
        <f>IF(AND(U206&lt;&gt;"",LEFT(U206,1)&lt;&gt;"#"),IF(LEFT(U206,1)="-",REPLACE(U206,1,1,tech!$H$2),U206),"")</f>
        <v/>
      </c>
      <c r="Z206" t="s">
        <v>495</v>
      </c>
      <c r="AA206" s="492"/>
      <c r="AB206" t="str">
        <f t="shared" si="260"/>
        <v>Processes and procedures are reviewed and updated</v>
      </c>
      <c r="AC206" t="str">
        <f t="shared" si="261"/>
        <v>References</v>
      </c>
      <c r="AD206" t="str">
        <f t="shared" si="262"/>
        <v>1.4.5.RX</v>
      </c>
      <c r="AE206" t="str">
        <f>IF(AND(AA206&lt;&gt;"",LEFT(AA206,1)&lt;&gt;"#"),IF(LEFT(AA206,1)="-",REPLACE(AA206,1,1,tech!$H$2),AA206),"")</f>
        <v/>
      </c>
      <c r="AF206" t="s">
        <v>495</v>
      </c>
      <c r="AG206" s="492"/>
      <c r="AH206" t="str">
        <f t="shared" si="263"/>
        <v>Key management is periodically reviewed and updated</v>
      </c>
      <c r="AI206" t="str">
        <f t="shared" si="264"/>
        <v>References</v>
      </c>
      <c r="AJ206" t="str">
        <f t="shared" si="265"/>
        <v>2.1.6.RX</v>
      </c>
      <c r="AK206" t="str">
        <f>IF(AND(AG206&lt;&gt;"",LEFT(AG206,1)&lt;&gt;"#"),IF(LEFT(AG206,1)="-",REPLACE(AG206,1,1,tech!$H$2),AG206),"")</f>
        <v/>
      </c>
      <c r="AL206" t="s">
        <v>495</v>
      </c>
      <c r="AM206" s="492"/>
      <c r="AN206" t="str">
        <f t="shared" si="266"/>
        <v>Organizational PKI governance</v>
      </c>
      <c r="AO206" t="str">
        <f t="shared" si="267"/>
        <v>References</v>
      </c>
      <c r="AP206" t="str">
        <f t="shared" si="268"/>
        <v>2.2.7.RX</v>
      </c>
      <c r="AQ206" t="str">
        <f>IF(AND(AM206&lt;&gt;"",LEFT(AM206,1)&lt;&gt;"#"),IF(LEFT(AM206,1)="-",REPLACE(AM206,1,1,tech!$H$2),AM206),"")</f>
        <v/>
      </c>
      <c r="AR206" t="s">
        <v>495</v>
      </c>
      <c r="AS206" s="492"/>
      <c r="AT206" t="str">
        <f t="shared" si="235"/>
        <v>Infrastructure activities are periodically reviewed</v>
      </c>
      <c r="AU206" t="str">
        <f t="shared" si="245"/>
        <v>References</v>
      </c>
      <c r="AV206" t="str">
        <f t="shared" si="213"/>
        <v>2.3.5.RX</v>
      </c>
      <c r="AW206" t="str">
        <f>IF(AND(AS206&lt;&gt;"",LEFT(AS206,1)&lt;&gt;"#"),IF(LEFT(AS206,1)="-",REPLACE(AS206,1,1,tech!$H$2),AS206),"")</f>
        <v/>
      </c>
      <c r="AX206" t="s">
        <v>495</v>
      </c>
      <c r="AY206" s="492"/>
      <c r="AZ206" t="str">
        <f t="shared" si="236"/>
        <v>Change management and agility is periodically reviewed</v>
      </c>
      <c r="BA206" t="str">
        <f t="shared" si="246"/>
        <v>References</v>
      </c>
      <c r="BB206" t="str">
        <f t="shared" si="214"/>
        <v>2.4.5.RX</v>
      </c>
      <c r="BC206" t="str">
        <f>IF(AND(AY206&lt;&gt;"",LEFT(AY206,1)&lt;&gt;"#"),IF(LEFT(AY206,1)="-",REPLACE(AY206,1,1,tech!$H$2),AY206),"")</f>
        <v/>
      </c>
      <c r="BD206" t="s">
        <v>495</v>
      </c>
      <c r="BE206" s="492"/>
      <c r="BF206" t="str">
        <f t="shared" si="237"/>
        <v>Continual review and improvement</v>
      </c>
      <c r="BG206" t="str">
        <f t="shared" si="247"/>
        <v>References</v>
      </c>
      <c r="BH206" t="str">
        <f t="shared" si="215"/>
        <v>3.1.6.RX</v>
      </c>
      <c r="BI206" t="str">
        <f>IF(AND(BE206&lt;&gt;"",LEFT(BE206,1)&lt;&gt;"#"),IF(LEFT(BE206,1)="-",REPLACE(BE206,1,1,tech!$H$2),BE206),"")</f>
        <v/>
      </c>
      <c r="BJ206" t="s">
        <v>495</v>
      </c>
      <c r="BK206" s="492"/>
      <c r="BL206" t="str">
        <f t="shared" si="238"/>
        <v>Adoption and application of open standards</v>
      </c>
      <c r="BM206" t="str">
        <f t="shared" si="248"/>
        <v>References</v>
      </c>
      <c r="BN206" t="str">
        <f t="shared" si="216"/>
        <v>3.2.3.RX</v>
      </c>
      <c r="BO206" t="str">
        <f>IF(AND(BK206&lt;&gt;"",LEFT(BK206,1)&lt;&gt;"#"),IF(LEFT(BK206,1)="-",REPLACE(BK206,1,1,tech!$H$2),BK206),"")</f>
        <v/>
      </c>
      <c r="BP206" t="s">
        <v>495</v>
      </c>
      <c r="BQ206" s="492"/>
      <c r="BR206" t="str">
        <f t="shared" si="239"/>
        <v>Review of events and logs is periodically performed</v>
      </c>
      <c r="BS206" t="str">
        <f t="shared" si="249"/>
        <v>References</v>
      </c>
      <c r="BT206" t="str">
        <f t="shared" si="217"/>
        <v>3.3.6.RX</v>
      </c>
      <c r="BU206" t="str">
        <f>IF(AND(BQ206&lt;&gt;"",LEFT(BQ206,1)&lt;&gt;"#"),IF(LEFT(BQ206,1)="-",REPLACE(BQ206,1,1,tech!$H$2),BQ206),"")</f>
        <v/>
      </c>
      <c r="BV206" t="s">
        <v>495</v>
      </c>
      <c r="BW206" s="492"/>
      <c r="BX206" t="str">
        <f t="shared" si="240"/>
        <v>Incidents and exceptions handling</v>
      </c>
      <c r="BY206" t="str">
        <f t="shared" si="250"/>
        <v>References</v>
      </c>
      <c r="BZ206" t="str">
        <f t="shared" si="218"/>
        <v>3.4.3.RX</v>
      </c>
      <c r="CA206" t="str">
        <f>IF(AND(BW206&lt;&gt;"",LEFT(BW206,1)&lt;&gt;"#"),IF(LEFT(BW206,1)="-",REPLACE(BW206,1,1,tech!$H$2),BW206),"")</f>
        <v/>
      </c>
      <c r="CB206" t="s">
        <v>495</v>
      </c>
      <c r="CC206" s="492"/>
      <c r="CD206" t="str">
        <f t="shared" si="241"/>
        <v>Resources are periodically reviewed</v>
      </c>
      <c r="CE206" t="str">
        <f t="shared" si="251"/>
        <v>References</v>
      </c>
      <c r="CF206" t="str">
        <f t="shared" si="219"/>
        <v>4.1.4.RX</v>
      </c>
      <c r="CG206" t="str">
        <f>IF(AND(CC206&lt;&gt;"",LEFT(CC206,1)&lt;&gt;"#"),IF(LEFT(CC206,1)="-",REPLACE(CC206,1,1,tech!$H$2),CC206),"")</f>
        <v/>
      </c>
      <c r="CH206" t="s">
        <v>495</v>
      </c>
      <c r="CI206" s="492"/>
      <c r="CJ206" t="str">
        <f t="shared" si="242"/>
        <v>Periodically review knowledge</v>
      </c>
      <c r="CK206" t="str">
        <f t="shared" si="252"/>
        <v>References</v>
      </c>
      <c r="CL206" t="str">
        <f t="shared" si="220"/>
        <v>4.2.5.RX</v>
      </c>
      <c r="CM206" t="str">
        <f>IF(AND(CI206&lt;&gt;"",LEFT(CI206,1)&lt;&gt;"#"),IF(LEFT(CI206,1)="-",REPLACE(CI206,1,1,tech!$H$2),CI206),"")</f>
        <v/>
      </c>
      <c r="CN206" t="s">
        <v>495</v>
      </c>
      <c r="CO206" s="492"/>
      <c r="CP206" t="str">
        <f t="shared" si="243"/>
        <v>Timely communication of important information</v>
      </c>
      <c r="CQ206" t="str">
        <f t="shared" si="253"/>
        <v>References</v>
      </c>
      <c r="CR206" t="str">
        <f t="shared" si="221"/>
        <v>4.3.4.RX</v>
      </c>
      <c r="CS206" t="str">
        <f>IF(AND(CO206&lt;&gt;"",LEFT(CO206,1)&lt;&gt;"#"),IF(LEFT(CO206,1)="-",REPLACE(CO206,1,1,tech!$H$2),CO206),"")</f>
        <v/>
      </c>
      <c r="CT206" t="s">
        <v>495</v>
      </c>
    </row>
    <row r="207" spans="15:98" x14ac:dyDescent="0.25">
      <c r="O207" s="492"/>
      <c r="P207" t="str">
        <f t="shared" si="254"/>
        <v>Policies are periodically reviewed and updated</v>
      </c>
      <c r="Q207" t="str">
        <f t="shared" si="255"/>
        <v>References</v>
      </c>
      <c r="R207" t="str">
        <f t="shared" si="256"/>
        <v>1.2.5.RX</v>
      </c>
      <c r="S207" t="str">
        <f>IF(AND(O207&lt;&gt;"",LEFT(O207,1)&lt;&gt;"#"),IF(LEFT(O207,1)="-",REPLACE(O207,1,1,tech!$H$2),O207),"")</f>
        <v/>
      </c>
      <c r="T207" t="s">
        <v>495</v>
      </c>
      <c r="U207" s="492"/>
      <c r="V207" t="str">
        <f t="shared" si="257"/>
        <v>List of relevant laws, regulations, and standards, exist and is maintained</v>
      </c>
      <c r="W207" t="str">
        <f t="shared" si="258"/>
        <v>References</v>
      </c>
      <c r="X207" t="str">
        <f t="shared" si="259"/>
        <v>1.3.4.RX</v>
      </c>
      <c r="Y207" t="str">
        <f>IF(AND(U207&lt;&gt;"",LEFT(U207,1)&lt;&gt;"#"),IF(LEFT(U207,1)="-",REPLACE(U207,1,1,tech!$H$2),U207),"")</f>
        <v/>
      </c>
      <c r="Z207" t="s">
        <v>495</v>
      </c>
      <c r="AA207" s="492"/>
      <c r="AB207" t="str">
        <f t="shared" si="260"/>
        <v>Processes and procedures are reviewed and updated</v>
      </c>
      <c r="AC207" t="str">
        <f t="shared" si="261"/>
        <v>References</v>
      </c>
      <c r="AD207" t="str">
        <f t="shared" si="262"/>
        <v>1.4.5.RX</v>
      </c>
      <c r="AE207" t="str">
        <f>IF(AND(AA207&lt;&gt;"",LEFT(AA207,1)&lt;&gt;"#"),IF(LEFT(AA207,1)="-",REPLACE(AA207,1,1,tech!$H$2),AA207),"")</f>
        <v/>
      </c>
      <c r="AF207" t="s">
        <v>495</v>
      </c>
      <c r="AG207" s="492"/>
      <c r="AH207" t="str">
        <f t="shared" si="263"/>
        <v>Key management is periodically reviewed and updated</v>
      </c>
      <c r="AI207" t="str">
        <f t="shared" si="264"/>
        <v>References</v>
      </c>
      <c r="AJ207" t="str">
        <f t="shared" si="265"/>
        <v>2.1.6.RX</v>
      </c>
      <c r="AK207" t="str">
        <f>IF(AND(AG207&lt;&gt;"",LEFT(AG207,1)&lt;&gt;"#"),IF(LEFT(AG207,1)="-",REPLACE(AG207,1,1,tech!$H$2),AG207),"")</f>
        <v/>
      </c>
      <c r="AL207" t="s">
        <v>495</v>
      </c>
      <c r="AM207" s="492"/>
      <c r="AN207" t="str">
        <f t="shared" si="266"/>
        <v>Organizational PKI governance</v>
      </c>
      <c r="AO207" t="str">
        <f t="shared" si="267"/>
        <v>References</v>
      </c>
      <c r="AP207" t="str">
        <f t="shared" si="268"/>
        <v>2.2.7.RX</v>
      </c>
      <c r="AQ207" t="str">
        <f>IF(AND(AM207&lt;&gt;"",LEFT(AM207,1)&lt;&gt;"#"),IF(LEFT(AM207,1)="-",REPLACE(AM207,1,1,tech!$H$2),AM207),"")</f>
        <v/>
      </c>
      <c r="AR207" t="s">
        <v>495</v>
      </c>
      <c r="AS207" s="492"/>
      <c r="AT207" t="str">
        <f t="shared" si="235"/>
        <v>Infrastructure activities are periodically reviewed</v>
      </c>
      <c r="AU207" t="str">
        <f t="shared" si="245"/>
        <v>References</v>
      </c>
      <c r="AV207" t="str">
        <f t="shared" si="213"/>
        <v>2.3.5.RX</v>
      </c>
      <c r="AW207" t="str">
        <f>IF(AND(AS207&lt;&gt;"",LEFT(AS207,1)&lt;&gt;"#"),IF(LEFT(AS207,1)="-",REPLACE(AS207,1,1,tech!$H$2),AS207),"")</f>
        <v/>
      </c>
      <c r="AX207" t="s">
        <v>495</v>
      </c>
      <c r="AY207" s="492"/>
      <c r="AZ207" t="str">
        <f t="shared" si="236"/>
        <v>Change management and agility is periodically reviewed</v>
      </c>
      <c r="BA207" t="str">
        <f t="shared" si="246"/>
        <v>References</v>
      </c>
      <c r="BB207" t="str">
        <f t="shared" si="214"/>
        <v>2.4.5.RX</v>
      </c>
      <c r="BC207" t="str">
        <f>IF(AND(AY207&lt;&gt;"",LEFT(AY207,1)&lt;&gt;"#"),IF(LEFT(AY207,1)="-",REPLACE(AY207,1,1,tech!$H$2),AY207),"")</f>
        <v/>
      </c>
      <c r="BD207" t="s">
        <v>495</v>
      </c>
      <c r="BE207" s="492"/>
      <c r="BF207" t="str">
        <f t="shared" si="237"/>
        <v>Continual review and improvement</v>
      </c>
      <c r="BG207" t="str">
        <f t="shared" si="247"/>
        <v>References</v>
      </c>
      <c r="BH207" t="str">
        <f t="shared" si="215"/>
        <v>3.1.6.RX</v>
      </c>
      <c r="BI207" t="str">
        <f>IF(AND(BE207&lt;&gt;"",LEFT(BE207,1)&lt;&gt;"#"),IF(LEFT(BE207,1)="-",REPLACE(BE207,1,1,tech!$H$2),BE207),"")</f>
        <v/>
      </c>
      <c r="BJ207" t="s">
        <v>495</v>
      </c>
      <c r="BK207" s="492"/>
      <c r="BL207" t="str">
        <f t="shared" si="238"/>
        <v>Adoption and application of open standards</v>
      </c>
      <c r="BM207" t="str">
        <f t="shared" si="248"/>
        <v>References</v>
      </c>
      <c r="BN207" t="str">
        <f t="shared" si="216"/>
        <v>3.2.3.RX</v>
      </c>
      <c r="BO207" t="str">
        <f>IF(AND(BK207&lt;&gt;"",LEFT(BK207,1)&lt;&gt;"#"),IF(LEFT(BK207,1)="-",REPLACE(BK207,1,1,tech!$H$2),BK207),"")</f>
        <v/>
      </c>
      <c r="BP207" t="s">
        <v>495</v>
      </c>
      <c r="BQ207" s="492"/>
      <c r="BR207" t="str">
        <f t="shared" si="239"/>
        <v>Review of events and logs is periodically performed</v>
      </c>
      <c r="BS207" t="str">
        <f t="shared" si="249"/>
        <v>References</v>
      </c>
      <c r="BT207" t="str">
        <f t="shared" si="217"/>
        <v>3.3.6.RX</v>
      </c>
      <c r="BU207" t="str">
        <f>IF(AND(BQ207&lt;&gt;"",LEFT(BQ207,1)&lt;&gt;"#"),IF(LEFT(BQ207,1)="-",REPLACE(BQ207,1,1,tech!$H$2),BQ207),"")</f>
        <v/>
      </c>
      <c r="BV207" t="s">
        <v>495</v>
      </c>
      <c r="BW207" s="492"/>
      <c r="BX207" t="str">
        <f t="shared" si="240"/>
        <v>Incidents and exceptions handling</v>
      </c>
      <c r="BY207" t="str">
        <f t="shared" si="250"/>
        <v>References</v>
      </c>
      <c r="BZ207" t="str">
        <f t="shared" si="218"/>
        <v>3.4.3.RX</v>
      </c>
      <c r="CA207" t="str">
        <f>IF(AND(BW207&lt;&gt;"",LEFT(BW207,1)&lt;&gt;"#"),IF(LEFT(BW207,1)="-",REPLACE(BW207,1,1,tech!$H$2),BW207),"")</f>
        <v/>
      </c>
      <c r="CB207" t="s">
        <v>495</v>
      </c>
      <c r="CC207" s="492"/>
      <c r="CD207" t="str">
        <f t="shared" si="241"/>
        <v>Resources are periodically reviewed</v>
      </c>
      <c r="CE207" t="str">
        <f t="shared" si="251"/>
        <v>References</v>
      </c>
      <c r="CF207" t="str">
        <f t="shared" si="219"/>
        <v>4.1.4.RX</v>
      </c>
      <c r="CG207" t="str">
        <f>IF(AND(CC207&lt;&gt;"",LEFT(CC207,1)&lt;&gt;"#"),IF(LEFT(CC207,1)="-",REPLACE(CC207,1,1,tech!$H$2),CC207),"")</f>
        <v/>
      </c>
      <c r="CH207" t="s">
        <v>495</v>
      </c>
      <c r="CI207" s="492"/>
      <c r="CJ207" t="str">
        <f t="shared" si="242"/>
        <v>Periodically review knowledge</v>
      </c>
      <c r="CK207" t="str">
        <f t="shared" si="252"/>
        <v>References</v>
      </c>
      <c r="CL207" t="str">
        <f t="shared" si="220"/>
        <v>4.2.5.RX</v>
      </c>
      <c r="CM207" t="str">
        <f>IF(AND(CI207&lt;&gt;"",LEFT(CI207,1)&lt;&gt;"#"),IF(LEFT(CI207,1)="-",REPLACE(CI207,1,1,tech!$H$2),CI207),"")</f>
        <v/>
      </c>
      <c r="CN207" t="s">
        <v>495</v>
      </c>
      <c r="CO207" s="492"/>
      <c r="CP207" t="str">
        <f t="shared" si="243"/>
        <v>Timely communication of important information</v>
      </c>
      <c r="CQ207" t="str">
        <f t="shared" si="253"/>
        <v>References</v>
      </c>
      <c r="CR207" t="str">
        <f t="shared" si="221"/>
        <v>4.3.4.RX</v>
      </c>
      <c r="CS207" t="str">
        <f>IF(AND(CO207&lt;&gt;"",LEFT(CO207,1)&lt;&gt;"#"),IF(LEFT(CO207,1)="-",REPLACE(CO207,1,1,tech!$H$2),CO207),"")</f>
        <v/>
      </c>
      <c r="CT207" t="s">
        <v>495</v>
      </c>
    </row>
    <row r="208" spans="15:98" x14ac:dyDescent="0.25">
      <c r="O208" s="492"/>
      <c r="P208" t="str">
        <f t="shared" si="254"/>
        <v>Policies are periodically reviewed and updated</v>
      </c>
      <c r="Q208" t="str">
        <f t="shared" si="255"/>
        <v>References</v>
      </c>
      <c r="R208" t="str">
        <f t="shared" si="256"/>
        <v>1.2.5.RX</v>
      </c>
      <c r="S208" t="str">
        <f>IF(AND(O208&lt;&gt;"",LEFT(O208,1)&lt;&gt;"#"),IF(LEFT(O208,1)="-",REPLACE(O208,1,1,tech!$H$2),O208),"")</f>
        <v/>
      </c>
      <c r="T208" t="s">
        <v>495</v>
      </c>
      <c r="U208" s="492"/>
      <c r="V208" t="str">
        <f t="shared" si="257"/>
        <v>List of relevant laws, regulations, and standards, exist and is maintained</v>
      </c>
      <c r="W208" t="str">
        <f t="shared" si="258"/>
        <v>References</v>
      </c>
      <c r="X208" t="str">
        <f t="shared" si="259"/>
        <v>1.3.4.RX</v>
      </c>
      <c r="Y208" t="str">
        <f>IF(AND(U208&lt;&gt;"",LEFT(U208,1)&lt;&gt;"#"),IF(LEFT(U208,1)="-",REPLACE(U208,1,1,tech!$H$2),U208),"")</f>
        <v/>
      </c>
      <c r="Z208" t="s">
        <v>495</v>
      </c>
      <c r="AA208" s="492"/>
      <c r="AB208" t="str">
        <f t="shared" si="260"/>
        <v>Processes and procedures are reviewed and updated</v>
      </c>
      <c r="AC208" t="str">
        <f t="shared" si="261"/>
        <v>References</v>
      </c>
      <c r="AD208" t="str">
        <f t="shared" si="262"/>
        <v>1.4.5.RX</v>
      </c>
      <c r="AE208" t="str">
        <f>IF(AND(AA208&lt;&gt;"",LEFT(AA208,1)&lt;&gt;"#"),IF(LEFT(AA208,1)="-",REPLACE(AA208,1,1,tech!$H$2),AA208),"")</f>
        <v/>
      </c>
      <c r="AF208" t="s">
        <v>495</v>
      </c>
      <c r="AG208" s="492"/>
      <c r="AH208" t="str">
        <f t="shared" si="263"/>
        <v>Key management is periodically reviewed and updated</v>
      </c>
      <c r="AI208" t="str">
        <f t="shared" si="264"/>
        <v>References</v>
      </c>
      <c r="AJ208" t="str">
        <f t="shared" si="265"/>
        <v>2.1.6.RX</v>
      </c>
      <c r="AK208" t="str">
        <f>IF(AND(AG208&lt;&gt;"",LEFT(AG208,1)&lt;&gt;"#"),IF(LEFT(AG208,1)="-",REPLACE(AG208,1,1,tech!$H$2),AG208),"")</f>
        <v/>
      </c>
      <c r="AL208" t="s">
        <v>495</v>
      </c>
      <c r="AM208" s="492"/>
      <c r="AN208" t="str">
        <f t="shared" si="266"/>
        <v>Organizational PKI governance</v>
      </c>
      <c r="AO208" t="str">
        <f t="shared" si="267"/>
        <v>References</v>
      </c>
      <c r="AP208" t="str">
        <f t="shared" si="268"/>
        <v>2.2.7.RX</v>
      </c>
      <c r="AQ208" t="str">
        <f>IF(AND(AM208&lt;&gt;"",LEFT(AM208,1)&lt;&gt;"#"),IF(LEFT(AM208,1)="-",REPLACE(AM208,1,1,tech!$H$2),AM208),"")</f>
        <v/>
      </c>
      <c r="AR208" t="s">
        <v>495</v>
      </c>
      <c r="AS208" s="492"/>
      <c r="AT208" t="str">
        <f t="shared" si="235"/>
        <v>Infrastructure activities are periodically reviewed</v>
      </c>
      <c r="AU208" t="str">
        <f t="shared" si="245"/>
        <v>References</v>
      </c>
      <c r="AV208" t="str">
        <f t="shared" ref="AV208:AV230" si="269">_xlfn.CONCAT(IFERROR(VLOOKUP(AT208,AV$4:AW$13,2,0),""),LEFT(AU208,1),IF(AW208="",IF(AND(AW207&lt;&gt;"",AW209&lt;&gt;""),"Y","X"),"Y"))</f>
        <v>2.3.5.RX</v>
      </c>
      <c r="AW208" t="str">
        <f>IF(AND(AS208&lt;&gt;"",LEFT(AS208,1)&lt;&gt;"#"),IF(LEFT(AS208,1)="-",REPLACE(AS208,1,1,tech!$H$2),AS208),"")</f>
        <v/>
      </c>
      <c r="AX208" t="s">
        <v>495</v>
      </c>
      <c r="AY208" s="492"/>
      <c r="AZ208" t="str">
        <f t="shared" si="236"/>
        <v>Change management and agility is periodically reviewed</v>
      </c>
      <c r="BA208" t="str">
        <f t="shared" si="246"/>
        <v>References</v>
      </c>
      <c r="BB208" t="str">
        <f t="shared" ref="BB208:BB230" si="270">_xlfn.CONCAT(IFERROR(VLOOKUP(AZ208,BB$4:BC$13,2,0),""),LEFT(BA208,1),IF(BC208="",IF(AND(BC207&lt;&gt;"",BC209&lt;&gt;""),"Y","X"),"Y"))</f>
        <v>2.4.5.RX</v>
      </c>
      <c r="BC208" t="str">
        <f>IF(AND(AY208&lt;&gt;"",LEFT(AY208,1)&lt;&gt;"#"),IF(LEFT(AY208,1)="-",REPLACE(AY208,1,1,tech!$H$2),AY208),"")</f>
        <v/>
      </c>
      <c r="BD208" t="s">
        <v>495</v>
      </c>
      <c r="BE208" s="492"/>
      <c r="BF208" t="str">
        <f t="shared" si="237"/>
        <v>Continual review and improvement</v>
      </c>
      <c r="BG208" t="str">
        <f t="shared" si="247"/>
        <v>References</v>
      </c>
      <c r="BH208" t="str">
        <f t="shared" ref="BH208:BH230" si="271">_xlfn.CONCAT(IFERROR(VLOOKUP(BF208,BH$4:BI$13,2,0),""),LEFT(BG208,1),IF(BI208="",IF(AND(BI207&lt;&gt;"",BI209&lt;&gt;""),"Y","X"),"Y"))</f>
        <v>3.1.6.RX</v>
      </c>
      <c r="BI208" t="str">
        <f>IF(AND(BE208&lt;&gt;"",LEFT(BE208,1)&lt;&gt;"#"),IF(LEFT(BE208,1)="-",REPLACE(BE208,1,1,tech!$H$2),BE208),"")</f>
        <v/>
      </c>
      <c r="BJ208" t="s">
        <v>495</v>
      </c>
      <c r="BK208" s="492"/>
      <c r="BL208" t="str">
        <f t="shared" si="238"/>
        <v>Adoption and application of open standards</v>
      </c>
      <c r="BM208" t="str">
        <f t="shared" si="248"/>
        <v>References</v>
      </c>
      <c r="BN208" t="str">
        <f t="shared" ref="BN208:BN230" si="272">_xlfn.CONCAT(IFERROR(VLOOKUP(BL208,BN$4:BO$13,2,0),""),LEFT(BM208,1),IF(BO208="",IF(AND(BO207&lt;&gt;"",BO209&lt;&gt;""),"Y","X"),"Y"))</f>
        <v>3.2.3.RX</v>
      </c>
      <c r="BO208" t="str">
        <f>IF(AND(BK208&lt;&gt;"",LEFT(BK208,1)&lt;&gt;"#"),IF(LEFT(BK208,1)="-",REPLACE(BK208,1,1,tech!$H$2),BK208),"")</f>
        <v/>
      </c>
      <c r="BP208" t="s">
        <v>495</v>
      </c>
      <c r="BQ208" s="492"/>
      <c r="BR208" t="str">
        <f t="shared" si="239"/>
        <v>Review of events and logs is periodically performed</v>
      </c>
      <c r="BS208" t="str">
        <f t="shared" si="249"/>
        <v>References</v>
      </c>
      <c r="BT208" t="str">
        <f t="shared" ref="BT208:BT230" si="273">_xlfn.CONCAT(IFERROR(VLOOKUP(BR208,BT$4:BU$13,2,0),""),LEFT(BS208,1),IF(BU208="",IF(AND(BU207&lt;&gt;"",BU209&lt;&gt;""),"Y","X"),"Y"))</f>
        <v>3.3.6.RX</v>
      </c>
      <c r="BU208" t="str">
        <f>IF(AND(BQ208&lt;&gt;"",LEFT(BQ208,1)&lt;&gt;"#"),IF(LEFT(BQ208,1)="-",REPLACE(BQ208,1,1,tech!$H$2),BQ208),"")</f>
        <v/>
      </c>
      <c r="BV208" t="s">
        <v>495</v>
      </c>
      <c r="BW208" s="492"/>
      <c r="BX208" t="str">
        <f t="shared" si="240"/>
        <v>Incidents and exceptions handling</v>
      </c>
      <c r="BY208" t="str">
        <f t="shared" si="250"/>
        <v>References</v>
      </c>
      <c r="BZ208" t="str">
        <f t="shared" ref="BZ208:BZ230" si="274">_xlfn.CONCAT(IFERROR(VLOOKUP(BX208,BZ$4:CA$13,2,0),""),LEFT(BY208,1),IF(CA208="",IF(AND(CA207&lt;&gt;"",CA209&lt;&gt;""),"Y","X"),"Y"))</f>
        <v>3.4.3.RX</v>
      </c>
      <c r="CA208" t="str">
        <f>IF(AND(BW208&lt;&gt;"",LEFT(BW208,1)&lt;&gt;"#"),IF(LEFT(BW208,1)="-",REPLACE(BW208,1,1,tech!$H$2),BW208),"")</f>
        <v/>
      </c>
      <c r="CB208" t="s">
        <v>495</v>
      </c>
      <c r="CC208" s="492"/>
      <c r="CD208" t="str">
        <f t="shared" si="241"/>
        <v>Resources are periodically reviewed</v>
      </c>
      <c r="CE208" t="str">
        <f t="shared" si="251"/>
        <v>References</v>
      </c>
      <c r="CF208" t="str">
        <f t="shared" ref="CF208:CF230" si="275">_xlfn.CONCAT(IFERROR(VLOOKUP(CD208,CF$4:CG$13,2,0),""),LEFT(CE208,1),IF(CG208="",IF(AND(CG207&lt;&gt;"",CG209&lt;&gt;""),"Y","X"),"Y"))</f>
        <v>4.1.4.RX</v>
      </c>
      <c r="CG208" t="str">
        <f>IF(AND(CC208&lt;&gt;"",LEFT(CC208,1)&lt;&gt;"#"),IF(LEFT(CC208,1)="-",REPLACE(CC208,1,1,tech!$H$2),CC208),"")</f>
        <v/>
      </c>
      <c r="CH208" t="s">
        <v>495</v>
      </c>
      <c r="CI208" s="492"/>
      <c r="CJ208" t="str">
        <f t="shared" si="242"/>
        <v>Periodically review knowledge</v>
      </c>
      <c r="CK208" t="str">
        <f t="shared" si="252"/>
        <v>References</v>
      </c>
      <c r="CL208" t="str">
        <f t="shared" ref="CL208:CL230" si="276">_xlfn.CONCAT(IFERROR(VLOOKUP(CJ208,CL$4:CM$13,2,0),""),LEFT(CK208,1),IF(CM208="",IF(AND(CM207&lt;&gt;"",CM209&lt;&gt;""),"Y","X"),"Y"))</f>
        <v>4.2.5.RX</v>
      </c>
      <c r="CM208" t="str">
        <f>IF(AND(CI208&lt;&gt;"",LEFT(CI208,1)&lt;&gt;"#"),IF(LEFT(CI208,1)="-",REPLACE(CI208,1,1,tech!$H$2),CI208),"")</f>
        <v/>
      </c>
      <c r="CN208" t="s">
        <v>495</v>
      </c>
      <c r="CO208" s="492"/>
      <c r="CP208" t="str">
        <f t="shared" si="243"/>
        <v>Timely communication of important information</v>
      </c>
      <c r="CQ208" t="str">
        <f t="shared" si="253"/>
        <v>References</v>
      </c>
      <c r="CR208" t="str">
        <f t="shared" ref="CR208:CR230" si="277">_xlfn.CONCAT(IFERROR(VLOOKUP(CP208,CR$4:CS$13,2,0),""),LEFT(CQ208,1),IF(CS208="",IF(AND(CS207&lt;&gt;"",CS209&lt;&gt;""),"Y","X"),"Y"))</f>
        <v>4.3.4.RX</v>
      </c>
      <c r="CS208" t="str">
        <f>IF(AND(CO208&lt;&gt;"",LEFT(CO208,1)&lt;&gt;"#"),IF(LEFT(CO208,1)="-",REPLACE(CO208,1,1,tech!$H$2),CO208),"")</f>
        <v/>
      </c>
      <c r="CT208" t="s">
        <v>495</v>
      </c>
    </row>
    <row r="209" spans="15:98" x14ac:dyDescent="0.25">
      <c r="O209" s="492"/>
      <c r="P209" t="str">
        <f t="shared" si="254"/>
        <v>Policies are periodically reviewed and updated</v>
      </c>
      <c r="Q209" t="str">
        <f t="shared" si="255"/>
        <v>References</v>
      </c>
      <c r="R209" t="str">
        <f t="shared" si="256"/>
        <v>1.2.5.RX</v>
      </c>
      <c r="S209" t="str">
        <f>IF(AND(O209&lt;&gt;"",LEFT(O209,1)&lt;&gt;"#"),IF(LEFT(O209,1)="-",REPLACE(O209,1,1,tech!$H$2),O209),"")</f>
        <v/>
      </c>
      <c r="T209" t="s">
        <v>495</v>
      </c>
      <c r="U209" s="492"/>
      <c r="V209" t="str">
        <f t="shared" si="257"/>
        <v>List of relevant laws, regulations, and standards, exist and is maintained</v>
      </c>
      <c r="W209" t="str">
        <f t="shared" si="258"/>
        <v>References</v>
      </c>
      <c r="X209" t="str">
        <f t="shared" si="259"/>
        <v>1.3.4.RX</v>
      </c>
      <c r="Y209" t="str">
        <f>IF(AND(U209&lt;&gt;"",LEFT(U209,1)&lt;&gt;"#"),IF(LEFT(U209,1)="-",REPLACE(U209,1,1,tech!$H$2),U209),"")</f>
        <v/>
      </c>
      <c r="Z209" t="s">
        <v>495</v>
      </c>
      <c r="AA209" s="492"/>
      <c r="AB209" t="str">
        <f t="shared" si="260"/>
        <v>Processes and procedures are reviewed and updated</v>
      </c>
      <c r="AC209" t="str">
        <f t="shared" si="261"/>
        <v>References</v>
      </c>
      <c r="AD209" t="str">
        <f t="shared" si="262"/>
        <v>1.4.5.RX</v>
      </c>
      <c r="AE209" t="str">
        <f>IF(AND(AA209&lt;&gt;"",LEFT(AA209,1)&lt;&gt;"#"),IF(LEFT(AA209,1)="-",REPLACE(AA209,1,1,tech!$H$2),AA209),"")</f>
        <v/>
      </c>
      <c r="AF209" t="s">
        <v>495</v>
      </c>
      <c r="AG209" s="492"/>
      <c r="AH209" t="str">
        <f t="shared" si="263"/>
        <v>Key management is periodically reviewed and updated</v>
      </c>
      <c r="AI209" t="str">
        <f t="shared" si="264"/>
        <v>References</v>
      </c>
      <c r="AJ209" t="str">
        <f t="shared" si="265"/>
        <v>2.1.6.RX</v>
      </c>
      <c r="AK209" t="str">
        <f>IF(AND(AG209&lt;&gt;"",LEFT(AG209,1)&lt;&gt;"#"),IF(LEFT(AG209,1)="-",REPLACE(AG209,1,1,tech!$H$2),AG209),"")</f>
        <v/>
      </c>
      <c r="AL209" t="s">
        <v>495</v>
      </c>
      <c r="AM209" s="492"/>
      <c r="AN209" t="str">
        <f t="shared" si="266"/>
        <v>Organizational PKI governance</v>
      </c>
      <c r="AO209" t="str">
        <f t="shared" si="267"/>
        <v>References</v>
      </c>
      <c r="AP209" t="str">
        <f t="shared" si="268"/>
        <v>2.2.7.RX</v>
      </c>
      <c r="AQ209" t="str">
        <f>IF(AND(AM209&lt;&gt;"",LEFT(AM209,1)&lt;&gt;"#"),IF(LEFT(AM209,1)="-",REPLACE(AM209,1,1,tech!$H$2),AM209),"")</f>
        <v/>
      </c>
      <c r="AR209" t="s">
        <v>495</v>
      </c>
      <c r="AS209" s="492"/>
      <c r="AT209" t="str">
        <f t="shared" si="235"/>
        <v>Infrastructure activities are periodically reviewed</v>
      </c>
      <c r="AU209" t="str">
        <f t="shared" si="245"/>
        <v>References</v>
      </c>
      <c r="AV209" t="str">
        <f t="shared" si="269"/>
        <v>2.3.5.RX</v>
      </c>
      <c r="AW209" t="str">
        <f>IF(AND(AS209&lt;&gt;"",LEFT(AS209,1)&lt;&gt;"#"),IF(LEFT(AS209,1)="-",REPLACE(AS209,1,1,tech!$H$2),AS209),"")</f>
        <v/>
      </c>
      <c r="AX209" t="s">
        <v>495</v>
      </c>
      <c r="AY209" s="492"/>
      <c r="AZ209" t="str">
        <f t="shared" si="236"/>
        <v>Change management and agility is periodically reviewed</v>
      </c>
      <c r="BA209" t="str">
        <f t="shared" si="246"/>
        <v>References</v>
      </c>
      <c r="BB209" t="str">
        <f t="shared" si="270"/>
        <v>2.4.5.RX</v>
      </c>
      <c r="BC209" t="str">
        <f>IF(AND(AY209&lt;&gt;"",LEFT(AY209,1)&lt;&gt;"#"),IF(LEFT(AY209,1)="-",REPLACE(AY209,1,1,tech!$H$2),AY209),"")</f>
        <v/>
      </c>
      <c r="BD209" t="s">
        <v>495</v>
      </c>
      <c r="BE209" s="492"/>
      <c r="BF209" t="str">
        <f t="shared" si="237"/>
        <v>Continual review and improvement</v>
      </c>
      <c r="BG209" t="str">
        <f t="shared" si="247"/>
        <v>References</v>
      </c>
      <c r="BH209" t="str">
        <f t="shared" si="271"/>
        <v>3.1.6.RX</v>
      </c>
      <c r="BI209" t="str">
        <f>IF(AND(BE209&lt;&gt;"",LEFT(BE209,1)&lt;&gt;"#"),IF(LEFT(BE209,1)="-",REPLACE(BE209,1,1,tech!$H$2),BE209),"")</f>
        <v/>
      </c>
      <c r="BJ209" t="s">
        <v>495</v>
      </c>
      <c r="BK209" s="492"/>
      <c r="BL209" t="str">
        <f t="shared" si="238"/>
        <v>Adoption and application of open standards</v>
      </c>
      <c r="BM209" t="str">
        <f t="shared" si="248"/>
        <v>References</v>
      </c>
      <c r="BN209" t="str">
        <f t="shared" si="272"/>
        <v>3.2.3.RX</v>
      </c>
      <c r="BO209" t="str">
        <f>IF(AND(BK209&lt;&gt;"",LEFT(BK209,1)&lt;&gt;"#"),IF(LEFT(BK209,1)="-",REPLACE(BK209,1,1,tech!$H$2),BK209),"")</f>
        <v/>
      </c>
      <c r="BP209" t="s">
        <v>495</v>
      </c>
      <c r="BQ209" s="492"/>
      <c r="BR209" t="str">
        <f t="shared" si="239"/>
        <v>Review of events and logs is periodically performed</v>
      </c>
      <c r="BS209" t="str">
        <f t="shared" si="249"/>
        <v>References</v>
      </c>
      <c r="BT209" t="str">
        <f t="shared" si="273"/>
        <v>3.3.6.RX</v>
      </c>
      <c r="BU209" t="str">
        <f>IF(AND(BQ209&lt;&gt;"",LEFT(BQ209,1)&lt;&gt;"#"),IF(LEFT(BQ209,1)="-",REPLACE(BQ209,1,1,tech!$H$2),BQ209),"")</f>
        <v/>
      </c>
      <c r="BV209" t="s">
        <v>495</v>
      </c>
      <c r="BW209" s="492"/>
      <c r="BX209" t="str">
        <f t="shared" si="240"/>
        <v>Incidents and exceptions handling</v>
      </c>
      <c r="BY209" t="str">
        <f t="shared" si="250"/>
        <v>References</v>
      </c>
      <c r="BZ209" t="str">
        <f t="shared" si="274"/>
        <v>3.4.3.RX</v>
      </c>
      <c r="CA209" t="str">
        <f>IF(AND(BW209&lt;&gt;"",LEFT(BW209,1)&lt;&gt;"#"),IF(LEFT(BW209,1)="-",REPLACE(BW209,1,1,tech!$H$2),BW209),"")</f>
        <v/>
      </c>
      <c r="CB209" t="s">
        <v>495</v>
      </c>
      <c r="CC209" s="492"/>
      <c r="CD209" t="str">
        <f t="shared" si="241"/>
        <v>Resources are periodically reviewed</v>
      </c>
      <c r="CE209" t="str">
        <f t="shared" si="251"/>
        <v>References</v>
      </c>
      <c r="CF209" t="str">
        <f t="shared" si="275"/>
        <v>4.1.4.RX</v>
      </c>
      <c r="CG209" t="str">
        <f>IF(AND(CC209&lt;&gt;"",LEFT(CC209,1)&lt;&gt;"#"),IF(LEFT(CC209,1)="-",REPLACE(CC209,1,1,tech!$H$2),CC209),"")</f>
        <v/>
      </c>
      <c r="CH209" t="s">
        <v>495</v>
      </c>
      <c r="CI209" s="492"/>
      <c r="CJ209" t="str">
        <f t="shared" si="242"/>
        <v>Periodically review knowledge</v>
      </c>
      <c r="CK209" t="str">
        <f t="shared" si="252"/>
        <v>References</v>
      </c>
      <c r="CL209" t="str">
        <f t="shared" si="276"/>
        <v>4.2.5.RX</v>
      </c>
      <c r="CM209" t="str">
        <f>IF(AND(CI209&lt;&gt;"",LEFT(CI209,1)&lt;&gt;"#"),IF(LEFT(CI209,1)="-",REPLACE(CI209,1,1,tech!$H$2),CI209),"")</f>
        <v/>
      </c>
      <c r="CN209" t="s">
        <v>495</v>
      </c>
      <c r="CO209" s="492"/>
      <c r="CP209" t="str">
        <f t="shared" si="243"/>
        <v>Timely communication of important information</v>
      </c>
      <c r="CQ209" t="str">
        <f t="shared" si="253"/>
        <v>References</v>
      </c>
      <c r="CR209" t="str">
        <f t="shared" si="277"/>
        <v>4.3.4.RX</v>
      </c>
      <c r="CS209" t="str">
        <f>IF(AND(CO209&lt;&gt;"",LEFT(CO209,1)&lt;&gt;"#"),IF(LEFT(CO209,1)="-",REPLACE(CO209,1,1,tech!$H$2),CO209),"")</f>
        <v/>
      </c>
      <c r="CT209" t="s">
        <v>495</v>
      </c>
    </row>
    <row r="210" spans="15:98" x14ac:dyDescent="0.25">
      <c r="O210" s="492"/>
      <c r="P210" t="str">
        <f t="shared" si="254"/>
        <v>Policies are periodically reviewed and updated</v>
      </c>
      <c r="Q210" t="str">
        <f t="shared" si="255"/>
        <v>References</v>
      </c>
      <c r="R210" t="str">
        <f t="shared" si="256"/>
        <v>1.2.5.RX</v>
      </c>
      <c r="S210" t="str">
        <f>IF(AND(O210&lt;&gt;"",LEFT(O210,1)&lt;&gt;"#"),IF(LEFT(O210,1)="-",REPLACE(O210,1,1,tech!$H$2),O210),"")</f>
        <v/>
      </c>
      <c r="T210" t="s">
        <v>495</v>
      </c>
      <c r="U210" s="492"/>
      <c r="V210" t="str">
        <f t="shared" si="257"/>
        <v>List of relevant laws, regulations, and standards, exist and is maintained</v>
      </c>
      <c r="W210" t="str">
        <f t="shared" si="258"/>
        <v>References</v>
      </c>
      <c r="X210" t="str">
        <f t="shared" si="259"/>
        <v>1.3.4.RX</v>
      </c>
      <c r="Y210" t="str">
        <f>IF(AND(U210&lt;&gt;"",LEFT(U210,1)&lt;&gt;"#"),IF(LEFT(U210,1)="-",REPLACE(U210,1,1,tech!$H$2),U210),"")</f>
        <v/>
      </c>
      <c r="Z210" t="s">
        <v>495</v>
      </c>
      <c r="AA210" s="492"/>
      <c r="AB210" t="str">
        <f t="shared" si="260"/>
        <v>Processes and procedures are reviewed and updated</v>
      </c>
      <c r="AC210" t="str">
        <f t="shared" si="261"/>
        <v>References</v>
      </c>
      <c r="AD210" t="str">
        <f t="shared" si="262"/>
        <v>1.4.5.RX</v>
      </c>
      <c r="AE210" t="str">
        <f>IF(AND(AA210&lt;&gt;"",LEFT(AA210,1)&lt;&gt;"#"),IF(LEFT(AA210,1)="-",REPLACE(AA210,1,1,tech!$H$2),AA210),"")</f>
        <v/>
      </c>
      <c r="AF210" t="s">
        <v>495</v>
      </c>
      <c r="AG210" s="492"/>
      <c r="AH210" t="str">
        <f t="shared" si="263"/>
        <v>Key management is periodically reviewed and updated</v>
      </c>
      <c r="AI210" t="str">
        <f t="shared" si="264"/>
        <v>References</v>
      </c>
      <c r="AJ210" t="str">
        <f t="shared" si="265"/>
        <v>2.1.6.RX</v>
      </c>
      <c r="AK210" t="str">
        <f>IF(AND(AG210&lt;&gt;"",LEFT(AG210,1)&lt;&gt;"#"),IF(LEFT(AG210,1)="-",REPLACE(AG210,1,1,tech!$H$2),AG210),"")</f>
        <v/>
      </c>
      <c r="AL210" t="s">
        <v>495</v>
      </c>
      <c r="AM210" s="492"/>
      <c r="AN210" t="str">
        <f t="shared" si="266"/>
        <v>Organizational PKI governance</v>
      </c>
      <c r="AO210" t="str">
        <f t="shared" si="267"/>
        <v>References</v>
      </c>
      <c r="AP210" t="str">
        <f t="shared" si="268"/>
        <v>2.2.7.RX</v>
      </c>
      <c r="AQ210" t="str">
        <f>IF(AND(AM210&lt;&gt;"",LEFT(AM210,1)&lt;&gt;"#"),IF(LEFT(AM210,1)="-",REPLACE(AM210,1,1,tech!$H$2),AM210),"")</f>
        <v/>
      </c>
      <c r="AR210" t="s">
        <v>495</v>
      </c>
      <c r="AS210" s="492"/>
      <c r="AT210" t="str">
        <f t="shared" si="235"/>
        <v>Infrastructure activities are periodically reviewed</v>
      </c>
      <c r="AU210" t="str">
        <f t="shared" si="245"/>
        <v>References</v>
      </c>
      <c r="AV210" t="str">
        <f t="shared" si="269"/>
        <v>2.3.5.RX</v>
      </c>
      <c r="AW210" t="str">
        <f>IF(AND(AS210&lt;&gt;"",LEFT(AS210,1)&lt;&gt;"#"),IF(LEFT(AS210,1)="-",REPLACE(AS210,1,1,tech!$H$2),AS210),"")</f>
        <v/>
      </c>
      <c r="AX210" t="s">
        <v>495</v>
      </c>
      <c r="AY210" s="492"/>
      <c r="AZ210" t="str">
        <f t="shared" si="236"/>
        <v>Change management and agility is periodically reviewed</v>
      </c>
      <c r="BA210" t="str">
        <f t="shared" si="246"/>
        <v>References</v>
      </c>
      <c r="BB210" t="str">
        <f t="shared" si="270"/>
        <v>2.4.5.RX</v>
      </c>
      <c r="BC210" t="str">
        <f>IF(AND(AY210&lt;&gt;"",LEFT(AY210,1)&lt;&gt;"#"),IF(LEFT(AY210,1)="-",REPLACE(AY210,1,1,tech!$H$2),AY210),"")</f>
        <v/>
      </c>
      <c r="BD210" t="s">
        <v>495</v>
      </c>
      <c r="BE210" s="492"/>
      <c r="BF210" t="str">
        <f t="shared" si="237"/>
        <v>Continual review and improvement</v>
      </c>
      <c r="BG210" t="str">
        <f t="shared" si="247"/>
        <v>References</v>
      </c>
      <c r="BH210" t="str">
        <f t="shared" si="271"/>
        <v>3.1.6.RX</v>
      </c>
      <c r="BI210" t="str">
        <f>IF(AND(BE210&lt;&gt;"",LEFT(BE210,1)&lt;&gt;"#"),IF(LEFT(BE210,1)="-",REPLACE(BE210,1,1,tech!$H$2),BE210),"")</f>
        <v/>
      </c>
      <c r="BJ210" t="s">
        <v>495</v>
      </c>
      <c r="BK210" s="492"/>
      <c r="BL210" t="str">
        <f t="shared" si="238"/>
        <v>Adoption and application of open standards</v>
      </c>
      <c r="BM210" t="str">
        <f t="shared" si="248"/>
        <v>References</v>
      </c>
      <c r="BN210" t="str">
        <f t="shared" si="272"/>
        <v>3.2.3.RX</v>
      </c>
      <c r="BO210" t="str">
        <f>IF(AND(BK210&lt;&gt;"",LEFT(BK210,1)&lt;&gt;"#"),IF(LEFT(BK210,1)="-",REPLACE(BK210,1,1,tech!$H$2),BK210),"")</f>
        <v/>
      </c>
      <c r="BP210" t="s">
        <v>495</v>
      </c>
      <c r="BQ210" s="492"/>
      <c r="BR210" t="str">
        <f t="shared" si="239"/>
        <v>Review of events and logs is periodically performed</v>
      </c>
      <c r="BS210" t="str">
        <f t="shared" si="249"/>
        <v>References</v>
      </c>
      <c r="BT210" t="str">
        <f t="shared" si="273"/>
        <v>3.3.6.RX</v>
      </c>
      <c r="BU210" t="str">
        <f>IF(AND(BQ210&lt;&gt;"",LEFT(BQ210,1)&lt;&gt;"#"),IF(LEFT(BQ210,1)="-",REPLACE(BQ210,1,1,tech!$H$2),BQ210),"")</f>
        <v/>
      </c>
      <c r="BV210" t="s">
        <v>495</v>
      </c>
      <c r="BW210" s="492"/>
      <c r="BX210" t="str">
        <f t="shared" si="240"/>
        <v>Incidents and exceptions handling</v>
      </c>
      <c r="BY210" t="str">
        <f t="shared" si="250"/>
        <v>References</v>
      </c>
      <c r="BZ210" t="str">
        <f t="shared" si="274"/>
        <v>3.4.3.RX</v>
      </c>
      <c r="CA210" t="str">
        <f>IF(AND(BW210&lt;&gt;"",LEFT(BW210,1)&lt;&gt;"#"),IF(LEFT(BW210,1)="-",REPLACE(BW210,1,1,tech!$H$2),BW210),"")</f>
        <v/>
      </c>
      <c r="CB210" t="s">
        <v>495</v>
      </c>
      <c r="CC210" s="492"/>
      <c r="CD210" t="str">
        <f t="shared" si="241"/>
        <v>Resources are periodically reviewed</v>
      </c>
      <c r="CE210" t="str">
        <f t="shared" si="251"/>
        <v>References</v>
      </c>
      <c r="CF210" t="str">
        <f t="shared" si="275"/>
        <v>4.1.4.RX</v>
      </c>
      <c r="CG210" t="str">
        <f>IF(AND(CC210&lt;&gt;"",LEFT(CC210,1)&lt;&gt;"#"),IF(LEFT(CC210,1)="-",REPLACE(CC210,1,1,tech!$H$2),CC210),"")</f>
        <v/>
      </c>
      <c r="CH210" t="s">
        <v>495</v>
      </c>
      <c r="CI210" s="492"/>
      <c r="CJ210" t="str">
        <f t="shared" si="242"/>
        <v>Periodically review knowledge</v>
      </c>
      <c r="CK210" t="str">
        <f t="shared" si="252"/>
        <v>References</v>
      </c>
      <c r="CL210" t="str">
        <f t="shared" si="276"/>
        <v>4.2.5.RX</v>
      </c>
      <c r="CM210" t="str">
        <f>IF(AND(CI210&lt;&gt;"",LEFT(CI210,1)&lt;&gt;"#"),IF(LEFT(CI210,1)="-",REPLACE(CI210,1,1,tech!$H$2),CI210),"")</f>
        <v/>
      </c>
      <c r="CN210" t="s">
        <v>495</v>
      </c>
      <c r="CO210" s="492"/>
      <c r="CP210" t="str">
        <f t="shared" si="243"/>
        <v>Timely communication of important information</v>
      </c>
      <c r="CQ210" t="str">
        <f t="shared" si="253"/>
        <v>References</v>
      </c>
      <c r="CR210" t="str">
        <f t="shared" si="277"/>
        <v>4.3.4.RX</v>
      </c>
      <c r="CS210" t="str">
        <f>IF(AND(CO210&lt;&gt;"",LEFT(CO210,1)&lt;&gt;"#"),IF(LEFT(CO210,1)="-",REPLACE(CO210,1,1,tech!$H$2),CO210),"")</f>
        <v/>
      </c>
      <c r="CT210" t="s">
        <v>495</v>
      </c>
    </row>
    <row r="211" spans="15:98" x14ac:dyDescent="0.25">
      <c r="O211" s="492"/>
      <c r="P211" t="str">
        <f t="shared" si="254"/>
        <v>Policies are periodically reviewed and updated</v>
      </c>
      <c r="Q211" t="str">
        <f t="shared" si="255"/>
        <v>References</v>
      </c>
      <c r="R211" t="str">
        <f t="shared" si="256"/>
        <v>1.2.5.RX</v>
      </c>
      <c r="S211" t="str">
        <f>IF(AND(O211&lt;&gt;"",LEFT(O211,1)&lt;&gt;"#"),IF(LEFT(O211,1)="-",REPLACE(O211,1,1,tech!$H$2),O211),"")</f>
        <v/>
      </c>
      <c r="T211" t="s">
        <v>495</v>
      </c>
      <c r="U211" s="492"/>
      <c r="V211" t="str">
        <f t="shared" si="257"/>
        <v>List of relevant laws, regulations, and standards, exist and is maintained</v>
      </c>
      <c r="W211" t="str">
        <f t="shared" si="258"/>
        <v>References</v>
      </c>
      <c r="X211" t="str">
        <f t="shared" si="259"/>
        <v>1.3.4.RX</v>
      </c>
      <c r="Y211" t="str">
        <f>IF(AND(U211&lt;&gt;"",LEFT(U211,1)&lt;&gt;"#"),IF(LEFT(U211,1)="-",REPLACE(U211,1,1,tech!$H$2),U211),"")</f>
        <v/>
      </c>
      <c r="Z211" t="s">
        <v>495</v>
      </c>
      <c r="AA211" s="492"/>
      <c r="AB211" t="str">
        <f t="shared" si="260"/>
        <v>Processes and procedures are reviewed and updated</v>
      </c>
      <c r="AC211" t="str">
        <f t="shared" si="261"/>
        <v>References</v>
      </c>
      <c r="AD211" t="str">
        <f t="shared" si="262"/>
        <v>1.4.5.RX</v>
      </c>
      <c r="AE211" t="str">
        <f>IF(AND(AA211&lt;&gt;"",LEFT(AA211,1)&lt;&gt;"#"),IF(LEFT(AA211,1)="-",REPLACE(AA211,1,1,tech!$H$2),AA211),"")</f>
        <v/>
      </c>
      <c r="AF211" t="s">
        <v>495</v>
      </c>
      <c r="AG211" s="492"/>
      <c r="AH211" t="str">
        <f t="shared" si="263"/>
        <v>Key management is periodically reviewed and updated</v>
      </c>
      <c r="AI211" t="str">
        <f t="shared" si="264"/>
        <v>References</v>
      </c>
      <c r="AJ211" t="str">
        <f t="shared" si="265"/>
        <v>2.1.6.RX</v>
      </c>
      <c r="AK211" t="str">
        <f>IF(AND(AG211&lt;&gt;"",LEFT(AG211,1)&lt;&gt;"#"),IF(LEFT(AG211,1)="-",REPLACE(AG211,1,1,tech!$H$2),AG211),"")</f>
        <v/>
      </c>
      <c r="AL211" t="s">
        <v>495</v>
      </c>
      <c r="AM211" s="492"/>
      <c r="AN211" t="str">
        <f t="shared" si="266"/>
        <v>Organizational PKI governance</v>
      </c>
      <c r="AO211" t="str">
        <f t="shared" si="267"/>
        <v>References</v>
      </c>
      <c r="AP211" t="str">
        <f t="shared" si="268"/>
        <v>2.2.7.RX</v>
      </c>
      <c r="AQ211" t="str">
        <f>IF(AND(AM211&lt;&gt;"",LEFT(AM211,1)&lt;&gt;"#"),IF(LEFT(AM211,1)="-",REPLACE(AM211,1,1,tech!$H$2),AM211),"")</f>
        <v/>
      </c>
      <c r="AR211" t="s">
        <v>495</v>
      </c>
      <c r="AS211" s="492"/>
      <c r="AT211" t="str">
        <f t="shared" si="235"/>
        <v>Infrastructure activities are periodically reviewed</v>
      </c>
      <c r="AU211" t="str">
        <f t="shared" si="245"/>
        <v>References</v>
      </c>
      <c r="AV211" t="str">
        <f t="shared" si="269"/>
        <v>2.3.5.RX</v>
      </c>
      <c r="AW211" t="str">
        <f>IF(AND(AS211&lt;&gt;"",LEFT(AS211,1)&lt;&gt;"#"),IF(LEFT(AS211,1)="-",REPLACE(AS211,1,1,tech!$H$2),AS211),"")</f>
        <v/>
      </c>
      <c r="AX211" t="s">
        <v>495</v>
      </c>
      <c r="AY211" s="492"/>
      <c r="AZ211" t="str">
        <f t="shared" si="236"/>
        <v>Change management and agility is periodically reviewed</v>
      </c>
      <c r="BA211" t="str">
        <f t="shared" si="246"/>
        <v>References</v>
      </c>
      <c r="BB211" t="str">
        <f t="shared" si="270"/>
        <v>2.4.5.RX</v>
      </c>
      <c r="BC211" t="str">
        <f>IF(AND(AY211&lt;&gt;"",LEFT(AY211,1)&lt;&gt;"#"),IF(LEFT(AY211,1)="-",REPLACE(AY211,1,1,tech!$H$2),AY211),"")</f>
        <v/>
      </c>
      <c r="BD211" t="s">
        <v>495</v>
      </c>
      <c r="BE211" s="492"/>
      <c r="BF211" t="str">
        <f t="shared" si="237"/>
        <v>Continual review and improvement</v>
      </c>
      <c r="BG211" t="str">
        <f t="shared" si="247"/>
        <v>References</v>
      </c>
      <c r="BH211" t="str">
        <f t="shared" si="271"/>
        <v>3.1.6.RX</v>
      </c>
      <c r="BI211" t="str">
        <f>IF(AND(BE211&lt;&gt;"",LEFT(BE211,1)&lt;&gt;"#"),IF(LEFT(BE211,1)="-",REPLACE(BE211,1,1,tech!$H$2),BE211),"")</f>
        <v/>
      </c>
      <c r="BJ211" t="s">
        <v>495</v>
      </c>
      <c r="BK211" s="492"/>
      <c r="BL211" t="str">
        <f t="shared" si="238"/>
        <v>Adoption and application of open standards</v>
      </c>
      <c r="BM211" t="str">
        <f t="shared" si="248"/>
        <v>References</v>
      </c>
      <c r="BN211" t="str">
        <f t="shared" si="272"/>
        <v>3.2.3.RX</v>
      </c>
      <c r="BO211" t="str">
        <f>IF(AND(BK211&lt;&gt;"",LEFT(BK211,1)&lt;&gt;"#"),IF(LEFT(BK211,1)="-",REPLACE(BK211,1,1,tech!$H$2),BK211),"")</f>
        <v/>
      </c>
      <c r="BP211" t="s">
        <v>495</v>
      </c>
      <c r="BQ211" s="492"/>
      <c r="BR211" t="str">
        <f t="shared" si="239"/>
        <v>Review of events and logs is periodically performed</v>
      </c>
      <c r="BS211" t="str">
        <f t="shared" si="249"/>
        <v>References</v>
      </c>
      <c r="BT211" t="str">
        <f t="shared" si="273"/>
        <v>3.3.6.RX</v>
      </c>
      <c r="BU211" t="str">
        <f>IF(AND(BQ211&lt;&gt;"",LEFT(BQ211,1)&lt;&gt;"#"),IF(LEFT(BQ211,1)="-",REPLACE(BQ211,1,1,tech!$H$2),BQ211),"")</f>
        <v/>
      </c>
      <c r="BV211" t="s">
        <v>495</v>
      </c>
      <c r="BW211" s="492"/>
      <c r="BX211" t="str">
        <f t="shared" si="240"/>
        <v>Incidents and exceptions handling</v>
      </c>
      <c r="BY211" t="str">
        <f t="shared" si="250"/>
        <v>References</v>
      </c>
      <c r="BZ211" t="str">
        <f t="shared" si="274"/>
        <v>3.4.3.RX</v>
      </c>
      <c r="CA211" t="str">
        <f>IF(AND(BW211&lt;&gt;"",LEFT(BW211,1)&lt;&gt;"#"),IF(LEFT(BW211,1)="-",REPLACE(BW211,1,1,tech!$H$2),BW211),"")</f>
        <v/>
      </c>
      <c r="CB211" t="s">
        <v>495</v>
      </c>
      <c r="CC211" s="492"/>
      <c r="CD211" t="str">
        <f t="shared" si="241"/>
        <v>Resources are periodically reviewed</v>
      </c>
      <c r="CE211" t="str">
        <f t="shared" si="251"/>
        <v>References</v>
      </c>
      <c r="CF211" t="str">
        <f t="shared" si="275"/>
        <v>4.1.4.RX</v>
      </c>
      <c r="CG211" t="str">
        <f>IF(AND(CC211&lt;&gt;"",LEFT(CC211,1)&lt;&gt;"#"),IF(LEFT(CC211,1)="-",REPLACE(CC211,1,1,tech!$H$2),CC211),"")</f>
        <v/>
      </c>
      <c r="CH211" t="s">
        <v>495</v>
      </c>
      <c r="CI211" s="492"/>
      <c r="CJ211" t="str">
        <f t="shared" si="242"/>
        <v>Periodically review knowledge</v>
      </c>
      <c r="CK211" t="str">
        <f t="shared" si="252"/>
        <v>References</v>
      </c>
      <c r="CL211" t="str">
        <f t="shared" si="276"/>
        <v>4.2.5.RX</v>
      </c>
      <c r="CM211" t="str">
        <f>IF(AND(CI211&lt;&gt;"",LEFT(CI211,1)&lt;&gt;"#"),IF(LEFT(CI211,1)="-",REPLACE(CI211,1,1,tech!$H$2),CI211),"")</f>
        <v/>
      </c>
      <c r="CN211" t="s">
        <v>495</v>
      </c>
      <c r="CO211" s="492"/>
      <c r="CP211" t="str">
        <f t="shared" si="243"/>
        <v>Timely communication of important information</v>
      </c>
      <c r="CQ211" t="str">
        <f t="shared" si="253"/>
        <v>References</v>
      </c>
      <c r="CR211" t="str">
        <f t="shared" si="277"/>
        <v>4.3.4.RX</v>
      </c>
      <c r="CS211" t="str">
        <f>IF(AND(CO211&lt;&gt;"",LEFT(CO211,1)&lt;&gt;"#"),IF(LEFT(CO211,1)="-",REPLACE(CO211,1,1,tech!$H$2),CO211),"")</f>
        <v/>
      </c>
      <c r="CT211" t="s">
        <v>495</v>
      </c>
    </row>
    <row r="212" spans="15:98" x14ac:dyDescent="0.25">
      <c r="O212" s="492"/>
      <c r="P212" t="str">
        <f t="shared" si="254"/>
        <v>Policies are periodically reviewed and updated</v>
      </c>
      <c r="Q212" t="str">
        <f t="shared" si="255"/>
        <v>References</v>
      </c>
      <c r="R212" t="str">
        <f t="shared" si="256"/>
        <v>1.2.5.RX</v>
      </c>
      <c r="S212" t="str">
        <f>IF(AND(O212&lt;&gt;"",LEFT(O212,1)&lt;&gt;"#"),IF(LEFT(O212,1)="-",REPLACE(O212,1,1,tech!$H$2),O212),"")</f>
        <v/>
      </c>
      <c r="T212" t="s">
        <v>495</v>
      </c>
      <c r="U212" s="492"/>
      <c r="V212" t="str">
        <f t="shared" si="257"/>
        <v>List of relevant laws, regulations, and standards, exist and is maintained</v>
      </c>
      <c r="W212" t="str">
        <f t="shared" si="258"/>
        <v>References</v>
      </c>
      <c r="X212" t="str">
        <f t="shared" si="259"/>
        <v>1.3.4.RX</v>
      </c>
      <c r="Y212" t="str">
        <f>IF(AND(U212&lt;&gt;"",LEFT(U212,1)&lt;&gt;"#"),IF(LEFT(U212,1)="-",REPLACE(U212,1,1,tech!$H$2),U212),"")</f>
        <v/>
      </c>
      <c r="Z212" t="s">
        <v>495</v>
      </c>
      <c r="AA212" s="492"/>
      <c r="AB212" t="str">
        <f t="shared" si="260"/>
        <v>Processes and procedures are reviewed and updated</v>
      </c>
      <c r="AC212" t="str">
        <f t="shared" si="261"/>
        <v>References</v>
      </c>
      <c r="AD212" t="str">
        <f t="shared" si="262"/>
        <v>1.4.5.RX</v>
      </c>
      <c r="AE212" t="str">
        <f>IF(AND(AA212&lt;&gt;"",LEFT(AA212,1)&lt;&gt;"#"),IF(LEFT(AA212,1)="-",REPLACE(AA212,1,1,tech!$H$2),AA212),"")</f>
        <v/>
      </c>
      <c r="AF212" t="s">
        <v>495</v>
      </c>
      <c r="AG212" s="492"/>
      <c r="AH212" t="str">
        <f t="shared" si="263"/>
        <v>Key management is periodically reviewed and updated</v>
      </c>
      <c r="AI212" t="str">
        <f t="shared" si="264"/>
        <v>References</v>
      </c>
      <c r="AJ212" t="str">
        <f t="shared" si="265"/>
        <v>2.1.6.RX</v>
      </c>
      <c r="AK212" t="str">
        <f>IF(AND(AG212&lt;&gt;"",LEFT(AG212,1)&lt;&gt;"#"),IF(LEFT(AG212,1)="-",REPLACE(AG212,1,1,tech!$H$2),AG212),"")</f>
        <v/>
      </c>
      <c r="AL212" t="s">
        <v>495</v>
      </c>
      <c r="AM212" s="492"/>
      <c r="AN212" t="str">
        <f t="shared" si="266"/>
        <v>Organizational PKI governance</v>
      </c>
      <c r="AO212" t="str">
        <f t="shared" si="267"/>
        <v>References</v>
      </c>
      <c r="AP212" t="str">
        <f t="shared" si="268"/>
        <v>2.2.7.RX</v>
      </c>
      <c r="AQ212" t="str">
        <f>IF(AND(AM212&lt;&gt;"",LEFT(AM212,1)&lt;&gt;"#"),IF(LEFT(AM212,1)="-",REPLACE(AM212,1,1,tech!$H$2),AM212),"")</f>
        <v/>
      </c>
      <c r="AR212" t="s">
        <v>495</v>
      </c>
      <c r="AS212" s="492"/>
      <c r="AT212" t="str">
        <f t="shared" si="235"/>
        <v>Infrastructure activities are periodically reviewed</v>
      </c>
      <c r="AU212" t="str">
        <f t="shared" si="245"/>
        <v>References</v>
      </c>
      <c r="AV212" t="str">
        <f t="shared" si="269"/>
        <v>2.3.5.RX</v>
      </c>
      <c r="AW212" t="str">
        <f>IF(AND(AS212&lt;&gt;"",LEFT(AS212,1)&lt;&gt;"#"),IF(LEFT(AS212,1)="-",REPLACE(AS212,1,1,tech!$H$2),AS212),"")</f>
        <v/>
      </c>
      <c r="AX212" t="s">
        <v>495</v>
      </c>
      <c r="AY212" s="492"/>
      <c r="AZ212" t="str">
        <f t="shared" si="236"/>
        <v>Change management and agility is periodically reviewed</v>
      </c>
      <c r="BA212" t="str">
        <f t="shared" si="246"/>
        <v>References</v>
      </c>
      <c r="BB212" t="str">
        <f t="shared" si="270"/>
        <v>2.4.5.RX</v>
      </c>
      <c r="BC212" t="str">
        <f>IF(AND(AY212&lt;&gt;"",LEFT(AY212,1)&lt;&gt;"#"),IF(LEFT(AY212,1)="-",REPLACE(AY212,1,1,tech!$H$2),AY212),"")</f>
        <v/>
      </c>
      <c r="BD212" t="s">
        <v>495</v>
      </c>
      <c r="BE212" s="492"/>
      <c r="BF212" t="str">
        <f t="shared" si="237"/>
        <v>Continual review and improvement</v>
      </c>
      <c r="BG212" t="str">
        <f t="shared" si="247"/>
        <v>References</v>
      </c>
      <c r="BH212" t="str">
        <f t="shared" si="271"/>
        <v>3.1.6.RX</v>
      </c>
      <c r="BI212" t="str">
        <f>IF(AND(BE212&lt;&gt;"",LEFT(BE212,1)&lt;&gt;"#"),IF(LEFT(BE212,1)="-",REPLACE(BE212,1,1,tech!$H$2),BE212),"")</f>
        <v/>
      </c>
      <c r="BJ212" t="s">
        <v>495</v>
      </c>
      <c r="BK212" s="492"/>
      <c r="BL212" t="str">
        <f t="shared" si="238"/>
        <v>Adoption and application of open standards</v>
      </c>
      <c r="BM212" t="str">
        <f t="shared" si="248"/>
        <v>References</v>
      </c>
      <c r="BN212" t="str">
        <f t="shared" si="272"/>
        <v>3.2.3.RX</v>
      </c>
      <c r="BO212" t="str">
        <f>IF(AND(BK212&lt;&gt;"",LEFT(BK212,1)&lt;&gt;"#"),IF(LEFT(BK212,1)="-",REPLACE(BK212,1,1,tech!$H$2),BK212),"")</f>
        <v/>
      </c>
      <c r="BP212" t="s">
        <v>495</v>
      </c>
      <c r="BQ212" s="492"/>
      <c r="BR212" t="str">
        <f t="shared" si="239"/>
        <v>Review of events and logs is periodically performed</v>
      </c>
      <c r="BS212" t="str">
        <f t="shared" si="249"/>
        <v>References</v>
      </c>
      <c r="BT212" t="str">
        <f t="shared" si="273"/>
        <v>3.3.6.RX</v>
      </c>
      <c r="BU212" t="str">
        <f>IF(AND(BQ212&lt;&gt;"",LEFT(BQ212,1)&lt;&gt;"#"),IF(LEFT(BQ212,1)="-",REPLACE(BQ212,1,1,tech!$H$2),BQ212),"")</f>
        <v/>
      </c>
      <c r="BV212" t="s">
        <v>495</v>
      </c>
      <c r="BW212" s="492"/>
      <c r="BX212" t="str">
        <f t="shared" si="240"/>
        <v>Incidents and exceptions handling</v>
      </c>
      <c r="BY212" t="str">
        <f t="shared" si="250"/>
        <v>References</v>
      </c>
      <c r="BZ212" t="str">
        <f t="shared" si="274"/>
        <v>3.4.3.RX</v>
      </c>
      <c r="CA212" t="str">
        <f>IF(AND(BW212&lt;&gt;"",LEFT(BW212,1)&lt;&gt;"#"),IF(LEFT(BW212,1)="-",REPLACE(BW212,1,1,tech!$H$2),BW212),"")</f>
        <v/>
      </c>
      <c r="CB212" t="s">
        <v>495</v>
      </c>
      <c r="CC212" s="492"/>
      <c r="CD212" t="str">
        <f t="shared" si="241"/>
        <v>Resources are periodically reviewed</v>
      </c>
      <c r="CE212" t="str">
        <f t="shared" si="251"/>
        <v>References</v>
      </c>
      <c r="CF212" t="str">
        <f t="shared" si="275"/>
        <v>4.1.4.RX</v>
      </c>
      <c r="CG212" t="str">
        <f>IF(AND(CC212&lt;&gt;"",LEFT(CC212,1)&lt;&gt;"#"),IF(LEFT(CC212,1)="-",REPLACE(CC212,1,1,tech!$H$2),CC212),"")</f>
        <v/>
      </c>
      <c r="CH212" t="s">
        <v>495</v>
      </c>
      <c r="CI212" s="492"/>
      <c r="CJ212" t="str">
        <f t="shared" si="242"/>
        <v>Periodically review knowledge</v>
      </c>
      <c r="CK212" t="str">
        <f t="shared" si="252"/>
        <v>References</v>
      </c>
      <c r="CL212" t="str">
        <f t="shared" si="276"/>
        <v>4.2.5.RX</v>
      </c>
      <c r="CM212" t="str">
        <f>IF(AND(CI212&lt;&gt;"",LEFT(CI212,1)&lt;&gt;"#"),IF(LEFT(CI212,1)="-",REPLACE(CI212,1,1,tech!$H$2),CI212),"")</f>
        <v/>
      </c>
      <c r="CN212" t="s">
        <v>495</v>
      </c>
      <c r="CO212" s="492"/>
      <c r="CP212" t="str">
        <f t="shared" si="243"/>
        <v>Timely communication of important information</v>
      </c>
      <c r="CQ212" t="str">
        <f t="shared" si="253"/>
        <v>References</v>
      </c>
      <c r="CR212" t="str">
        <f t="shared" si="277"/>
        <v>4.3.4.RX</v>
      </c>
      <c r="CS212" t="str">
        <f>IF(AND(CO212&lt;&gt;"",LEFT(CO212,1)&lt;&gt;"#"),IF(LEFT(CO212,1)="-",REPLACE(CO212,1,1,tech!$H$2),CO212),"")</f>
        <v/>
      </c>
      <c r="CT212" t="s">
        <v>495</v>
      </c>
    </row>
    <row r="213" spans="15:98" x14ac:dyDescent="0.25">
      <c r="O213" s="492"/>
      <c r="P213" t="str">
        <f t="shared" si="254"/>
        <v>Policies are periodically reviewed and updated</v>
      </c>
      <c r="Q213" t="str">
        <f t="shared" si="255"/>
        <v>References</v>
      </c>
      <c r="R213" t="str">
        <f t="shared" si="256"/>
        <v>1.2.5.RX</v>
      </c>
      <c r="S213" t="str">
        <f>IF(AND(O213&lt;&gt;"",LEFT(O213,1)&lt;&gt;"#"),IF(LEFT(O213,1)="-",REPLACE(O213,1,1,tech!$H$2),O213),"")</f>
        <v/>
      </c>
      <c r="T213" t="s">
        <v>495</v>
      </c>
      <c r="U213" s="492"/>
      <c r="V213" t="str">
        <f t="shared" si="257"/>
        <v>List of relevant laws, regulations, and standards, exist and is maintained</v>
      </c>
      <c r="W213" t="str">
        <f t="shared" si="258"/>
        <v>References</v>
      </c>
      <c r="X213" t="str">
        <f t="shared" si="259"/>
        <v>1.3.4.RX</v>
      </c>
      <c r="Y213" t="str">
        <f>IF(AND(U213&lt;&gt;"",LEFT(U213,1)&lt;&gt;"#"),IF(LEFT(U213,1)="-",REPLACE(U213,1,1,tech!$H$2),U213),"")</f>
        <v/>
      </c>
      <c r="Z213" t="s">
        <v>495</v>
      </c>
      <c r="AA213" s="492"/>
      <c r="AB213" t="str">
        <f t="shared" si="260"/>
        <v>Processes and procedures are reviewed and updated</v>
      </c>
      <c r="AC213" t="str">
        <f t="shared" si="261"/>
        <v>References</v>
      </c>
      <c r="AD213" t="str">
        <f t="shared" si="262"/>
        <v>1.4.5.RX</v>
      </c>
      <c r="AE213" t="str">
        <f>IF(AND(AA213&lt;&gt;"",LEFT(AA213,1)&lt;&gt;"#"),IF(LEFT(AA213,1)="-",REPLACE(AA213,1,1,tech!$H$2),AA213),"")</f>
        <v/>
      </c>
      <c r="AF213" t="s">
        <v>495</v>
      </c>
      <c r="AG213" s="492"/>
      <c r="AH213" t="str">
        <f t="shared" si="263"/>
        <v>Key management is periodically reviewed and updated</v>
      </c>
      <c r="AI213" t="str">
        <f t="shared" si="264"/>
        <v>References</v>
      </c>
      <c r="AJ213" t="str">
        <f t="shared" si="265"/>
        <v>2.1.6.RX</v>
      </c>
      <c r="AK213" t="str">
        <f>IF(AND(AG213&lt;&gt;"",LEFT(AG213,1)&lt;&gt;"#"),IF(LEFT(AG213,1)="-",REPLACE(AG213,1,1,tech!$H$2),AG213),"")</f>
        <v/>
      </c>
      <c r="AL213" t="s">
        <v>495</v>
      </c>
      <c r="AM213" s="492"/>
      <c r="AN213" t="str">
        <f t="shared" si="266"/>
        <v>Organizational PKI governance</v>
      </c>
      <c r="AO213" t="str">
        <f t="shared" si="267"/>
        <v>References</v>
      </c>
      <c r="AP213" t="str">
        <f t="shared" si="268"/>
        <v>2.2.7.RX</v>
      </c>
      <c r="AQ213" t="str">
        <f>IF(AND(AM213&lt;&gt;"",LEFT(AM213,1)&lt;&gt;"#"),IF(LEFT(AM213,1)="-",REPLACE(AM213,1,1,tech!$H$2),AM213),"")</f>
        <v/>
      </c>
      <c r="AR213" t="s">
        <v>495</v>
      </c>
      <c r="AS213" s="492"/>
      <c r="AT213" t="str">
        <f t="shared" si="235"/>
        <v>Infrastructure activities are periodically reviewed</v>
      </c>
      <c r="AU213" t="str">
        <f t="shared" si="245"/>
        <v>References</v>
      </c>
      <c r="AV213" t="str">
        <f t="shared" si="269"/>
        <v>2.3.5.RX</v>
      </c>
      <c r="AW213" t="str">
        <f>IF(AND(AS213&lt;&gt;"",LEFT(AS213,1)&lt;&gt;"#"),IF(LEFT(AS213,1)="-",REPLACE(AS213,1,1,tech!$H$2),AS213),"")</f>
        <v/>
      </c>
      <c r="AX213" t="s">
        <v>495</v>
      </c>
      <c r="AY213" s="492"/>
      <c r="AZ213" t="str">
        <f t="shared" si="236"/>
        <v>Change management and agility is periodically reviewed</v>
      </c>
      <c r="BA213" t="str">
        <f t="shared" si="246"/>
        <v>References</v>
      </c>
      <c r="BB213" t="str">
        <f t="shared" si="270"/>
        <v>2.4.5.RX</v>
      </c>
      <c r="BC213" t="str">
        <f>IF(AND(AY213&lt;&gt;"",LEFT(AY213,1)&lt;&gt;"#"),IF(LEFT(AY213,1)="-",REPLACE(AY213,1,1,tech!$H$2),AY213),"")</f>
        <v/>
      </c>
      <c r="BD213" t="s">
        <v>495</v>
      </c>
      <c r="BE213" s="492"/>
      <c r="BF213" t="str">
        <f t="shared" si="237"/>
        <v>Continual review and improvement</v>
      </c>
      <c r="BG213" t="str">
        <f t="shared" si="247"/>
        <v>References</v>
      </c>
      <c r="BH213" t="str">
        <f t="shared" si="271"/>
        <v>3.1.6.RX</v>
      </c>
      <c r="BI213" t="str">
        <f>IF(AND(BE213&lt;&gt;"",LEFT(BE213,1)&lt;&gt;"#"),IF(LEFT(BE213,1)="-",REPLACE(BE213,1,1,tech!$H$2),BE213),"")</f>
        <v/>
      </c>
      <c r="BJ213" t="s">
        <v>495</v>
      </c>
      <c r="BK213" s="492"/>
      <c r="BL213" t="str">
        <f t="shared" si="238"/>
        <v>Adoption and application of open standards</v>
      </c>
      <c r="BM213" t="str">
        <f t="shared" si="248"/>
        <v>References</v>
      </c>
      <c r="BN213" t="str">
        <f t="shared" si="272"/>
        <v>3.2.3.RX</v>
      </c>
      <c r="BO213" t="str">
        <f>IF(AND(BK213&lt;&gt;"",LEFT(BK213,1)&lt;&gt;"#"),IF(LEFT(BK213,1)="-",REPLACE(BK213,1,1,tech!$H$2),BK213),"")</f>
        <v/>
      </c>
      <c r="BP213" t="s">
        <v>495</v>
      </c>
      <c r="BQ213" s="492"/>
      <c r="BR213" t="str">
        <f t="shared" si="239"/>
        <v>Review of events and logs is periodically performed</v>
      </c>
      <c r="BS213" t="str">
        <f t="shared" si="249"/>
        <v>References</v>
      </c>
      <c r="BT213" t="str">
        <f t="shared" si="273"/>
        <v>3.3.6.RX</v>
      </c>
      <c r="BU213" t="str">
        <f>IF(AND(BQ213&lt;&gt;"",LEFT(BQ213,1)&lt;&gt;"#"),IF(LEFT(BQ213,1)="-",REPLACE(BQ213,1,1,tech!$H$2),BQ213),"")</f>
        <v/>
      </c>
      <c r="BV213" t="s">
        <v>495</v>
      </c>
      <c r="BW213" s="492"/>
      <c r="BX213" t="str">
        <f t="shared" si="240"/>
        <v>Incidents and exceptions handling</v>
      </c>
      <c r="BY213" t="str">
        <f t="shared" si="250"/>
        <v>References</v>
      </c>
      <c r="BZ213" t="str">
        <f t="shared" si="274"/>
        <v>3.4.3.RX</v>
      </c>
      <c r="CA213" t="str">
        <f>IF(AND(BW213&lt;&gt;"",LEFT(BW213,1)&lt;&gt;"#"),IF(LEFT(BW213,1)="-",REPLACE(BW213,1,1,tech!$H$2),BW213),"")</f>
        <v/>
      </c>
      <c r="CB213" t="s">
        <v>495</v>
      </c>
      <c r="CC213" s="492"/>
      <c r="CD213" t="str">
        <f t="shared" si="241"/>
        <v>Resources are periodically reviewed</v>
      </c>
      <c r="CE213" t="str">
        <f t="shared" si="251"/>
        <v>References</v>
      </c>
      <c r="CF213" t="str">
        <f t="shared" si="275"/>
        <v>4.1.4.RX</v>
      </c>
      <c r="CG213" t="str">
        <f>IF(AND(CC213&lt;&gt;"",LEFT(CC213,1)&lt;&gt;"#"),IF(LEFT(CC213,1)="-",REPLACE(CC213,1,1,tech!$H$2),CC213),"")</f>
        <v/>
      </c>
      <c r="CH213" t="s">
        <v>495</v>
      </c>
      <c r="CI213" s="492"/>
      <c r="CJ213" t="str">
        <f t="shared" si="242"/>
        <v>Periodically review knowledge</v>
      </c>
      <c r="CK213" t="str">
        <f t="shared" si="252"/>
        <v>References</v>
      </c>
      <c r="CL213" t="str">
        <f t="shared" si="276"/>
        <v>4.2.5.RX</v>
      </c>
      <c r="CM213" t="str">
        <f>IF(AND(CI213&lt;&gt;"",LEFT(CI213,1)&lt;&gt;"#"),IF(LEFT(CI213,1)="-",REPLACE(CI213,1,1,tech!$H$2),CI213),"")</f>
        <v/>
      </c>
      <c r="CN213" t="s">
        <v>495</v>
      </c>
      <c r="CO213" s="492"/>
      <c r="CP213" t="str">
        <f t="shared" si="243"/>
        <v>Timely communication of important information</v>
      </c>
      <c r="CQ213" t="str">
        <f t="shared" si="253"/>
        <v>References</v>
      </c>
      <c r="CR213" t="str">
        <f t="shared" si="277"/>
        <v>4.3.4.RX</v>
      </c>
      <c r="CS213" t="str">
        <f>IF(AND(CO213&lt;&gt;"",LEFT(CO213,1)&lt;&gt;"#"),IF(LEFT(CO213,1)="-",REPLACE(CO213,1,1,tech!$H$2),CO213),"")</f>
        <v/>
      </c>
      <c r="CT213" t="s">
        <v>495</v>
      </c>
    </row>
    <row r="214" spans="15:98" x14ac:dyDescent="0.25">
      <c r="O214" s="492"/>
      <c r="P214" t="str">
        <f t="shared" si="254"/>
        <v>Policies are periodically reviewed and updated</v>
      </c>
      <c r="Q214" t="str">
        <f t="shared" si="255"/>
        <v>References</v>
      </c>
      <c r="R214" t="str">
        <f t="shared" si="256"/>
        <v>1.2.5.RX</v>
      </c>
      <c r="S214" t="str">
        <f>IF(AND(O214&lt;&gt;"",LEFT(O214,1)&lt;&gt;"#"),IF(LEFT(O214,1)="-",REPLACE(O214,1,1,tech!$H$2),O214),"")</f>
        <v/>
      </c>
      <c r="T214" t="s">
        <v>495</v>
      </c>
      <c r="U214" s="492"/>
      <c r="V214" t="str">
        <f t="shared" si="257"/>
        <v>List of relevant laws, regulations, and standards, exist and is maintained</v>
      </c>
      <c r="W214" t="str">
        <f t="shared" si="258"/>
        <v>References</v>
      </c>
      <c r="X214" t="str">
        <f t="shared" si="259"/>
        <v>1.3.4.RX</v>
      </c>
      <c r="Y214" t="str">
        <f>IF(AND(U214&lt;&gt;"",LEFT(U214,1)&lt;&gt;"#"),IF(LEFT(U214,1)="-",REPLACE(U214,1,1,tech!$H$2),U214),"")</f>
        <v/>
      </c>
      <c r="Z214" t="s">
        <v>495</v>
      </c>
      <c r="AA214" s="492"/>
      <c r="AB214" t="str">
        <f t="shared" si="260"/>
        <v>Processes and procedures are reviewed and updated</v>
      </c>
      <c r="AC214" t="str">
        <f t="shared" si="261"/>
        <v>References</v>
      </c>
      <c r="AD214" t="str">
        <f t="shared" si="262"/>
        <v>1.4.5.RX</v>
      </c>
      <c r="AE214" t="str">
        <f>IF(AND(AA214&lt;&gt;"",LEFT(AA214,1)&lt;&gt;"#"),IF(LEFT(AA214,1)="-",REPLACE(AA214,1,1,tech!$H$2),AA214),"")</f>
        <v/>
      </c>
      <c r="AF214" t="s">
        <v>495</v>
      </c>
      <c r="AG214" s="492"/>
      <c r="AH214" t="str">
        <f t="shared" si="263"/>
        <v>Key management is periodically reviewed and updated</v>
      </c>
      <c r="AI214" t="str">
        <f t="shared" si="264"/>
        <v>References</v>
      </c>
      <c r="AJ214" t="str">
        <f t="shared" si="265"/>
        <v>2.1.6.RX</v>
      </c>
      <c r="AK214" t="str">
        <f>IF(AND(AG214&lt;&gt;"",LEFT(AG214,1)&lt;&gt;"#"),IF(LEFT(AG214,1)="-",REPLACE(AG214,1,1,tech!$H$2),AG214),"")</f>
        <v/>
      </c>
      <c r="AL214" t="s">
        <v>495</v>
      </c>
      <c r="AM214" s="492"/>
      <c r="AN214" t="str">
        <f t="shared" si="266"/>
        <v>Organizational PKI governance</v>
      </c>
      <c r="AO214" t="str">
        <f t="shared" si="267"/>
        <v>References</v>
      </c>
      <c r="AP214" t="str">
        <f t="shared" si="268"/>
        <v>2.2.7.RX</v>
      </c>
      <c r="AQ214" t="str">
        <f>IF(AND(AM214&lt;&gt;"",LEFT(AM214,1)&lt;&gt;"#"),IF(LEFT(AM214,1)="-",REPLACE(AM214,1,1,tech!$H$2),AM214),"")</f>
        <v/>
      </c>
      <c r="AR214" t="s">
        <v>495</v>
      </c>
      <c r="AS214" s="492"/>
      <c r="AT214" t="str">
        <f t="shared" si="235"/>
        <v>Infrastructure activities are periodically reviewed</v>
      </c>
      <c r="AU214" t="str">
        <f t="shared" si="245"/>
        <v>References</v>
      </c>
      <c r="AV214" t="str">
        <f t="shared" si="269"/>
        <v>2.3.5.RX</v>
      </c>
      <c r="AW214" t="str">
        <f>IF(AND(AS214&lt;&gt;"",LEFT(AS214,1)&lt;&gt;"#"),IF(LEFT(AS214,1)="-",REPLACE(AS214,1,1,tech!$H$2),AS214),"")</f>
        <v/>
      </c>
      <c r="AX214" t="s">
        <v>495</v>
      </c>
      <c r="AY214" s="492"/>
      <c r="AZ214" t="str">
        <f t="shared" si="236"/>
        <v>Change management and agility is periodically reviewed</v>
      </c>
      <c r="BA214" t="str">
        <f t="shared" si="246"/>
        <v>References</v>
      </c>
      <c r="BB214" t="str">
        <f t="shared" si="270"/>
        <v>2.4.5.RX</v>
      </c>
      <c r="BC214" t="str">
        <f>IF(AND(AY214&lt;&gt;"",LEFT(AY214,1)&lt;&gt;"#"),IF(LEFT(AY214,1)="-",REPLACE(AY214,1,1,tech!$H$2),AY214),"")</f>
        <v/>
      </c>
      <c r="BD214" t="s">
        <v>495</v>
      </c>
      <c r="BE214" s="492"/>
      <c r="BF214" t="str">
        <f t="shared" si="237"/>
        <v>Continual review and improvement</v>
      </c>
      <c r="BG214" t="str">
        <f t="shared" si="247"/>
        <v>References</v>
      </c>
      <c r="BH214" t="str">
        <f t="shared" si="271"/>
        <v>3.1.6.RX</v>
      </c>
      <c r="BI214" t="str">
        <f>IF(AND(BE214&lt;&gt;"",LEFT(BE214,1)&lt;&gt;"#"),IF(LEFT(BE214,1)="-",REPLACE(BE214,1,1,tech!$H$2),BE214),"")</f>
        <v/>
      </c>
      <c r="BJ214" t="s">
        <v>495</v>
      </c>
      <c r="BK214" s="492"/>
      <c r="BL214" t="str">
        <f t="shared" si="238"/>
        <v>Adoption and application of open standards</v>
      </c>
      <c r="BM214" t="str">
        <f t="shared" si="248"/>
        <v>References</v>
      </c>
      <c r="BN214" t="str">
        <f t="shared" si="272"/>
        <v>3.2.3.RX</v>
      </c>
      <c r="BO214" t="str">
        <f>IF(AND(BK214&lt;&gt;"",LEFT(BK214,1)&lt;&gt;"#"),IF(LEFT(BK214,1)="-",REPLACE(BK214,1,1,tech!$H$2),BK214),"")</f>
        <v/>
      </c>
      <c r="BP214" t="s">
        <v>495</v>
      </c>
      <c r="BQ214" s="492"/>
      <c r="BR214" t="str">
        <f t="shared" si="239"/>
        <v>Review of events and logs is periodically performed</v>
      </c>
      <c r="BS214" t="str">
        <f t="shared" si="249"/>
        <v>References</v>
      </c>
      <c r="BT214" t="str">
        <f t="shared" si="273"/>
        <v>3.3.6.RX</v>
      </c>
      <c r="BU214" t="str">
        <f>IF(AND(BQ214&lt;&gt;"",LEFT(BQ214,1)&lt;&gt;"#"),IF(LEFT(BQ214,1)="-",REPLACE(BQ214,1,1,tech!$H$2),BQ214),"")</f>
        <v/>
      </c>
      <c r="BV214" t="s">
        <v>495</v>
      </c>
      <c r="BW214" s="492"/>
      <c r="BX214" t="str">
        <f t="shared" si="240"/>
        <v>Incidents and exceptions handling</v>
      </c>
      <c r="BY214" t="str">
        <f t="shared" si="250"/>
        <v>References</v>
      </c>
      <c r="BZ214" t="str">
        <f t="shared" si="274"/>
        <v>3.4.3.RX</v>
      </c>
      <c r="CA214" t="str">
        <f>IF(AND(BW214&lt;&gt;"",LEFT(BW214,1)&lt;&gt;"#"),IF(LEFT(BW214,1)="-",REPLACE(BW214,1,1,tech!$H$2),BW214),"")</f>
        <v/>
      </c>
      <c r="CB214" t="s">
        <v>495</v>
      </c>
      <c r="CC214" s="492"/>
      <c r="CD214" t="str">
        <f t="shared" si="241"/>
        <v>Resources are periodically reviewed</v>
      </c>
      <c r="CE214" t="str">
        <f t="shared" si="251"/>
        <v>References</v>
      </c>
      <c r="CF214" t="str">
        <f t="shared" si="275"/>
        <v>4.1.4.RX</v>
      </c>
      <c r="CG214" t="str">
        <f>IF(AND(CC214&lt;&gt;"",LEFT(CC214,1)&lt;&gt;"#"),IF(LEFT(CC214,1)="-",REPLACE(CC214,1,1,tech!$H$2),CC214),"")</f>
        <v/>
      </c>
      <c r="CH214" t="s">
        <v>495</v>
      </c>
      <c r="CI214" s="492"/>
      <c r="CJ214" t="str">
        <f t="shared" si="242"/>
        <v>Periodically review knowledge</v>
      </c>
      <c r="CK214" t="str">
        <f t="shared" si="252"/>
        <v>References</v>
      </c>
      <c r="CL214" t="str">
        <f t="shared" si="276"/>
        <v>4.2.5.RX</v>
      </c>
      <c r="CM214" t="str">
        <f>IF(AND(CI214&lt;&gt;"",LEFT(CI214,1)&lt;&gt;"#"),IF(LEFT(CI214,1)="-",REPLACE(CI214,1,1,tech!$H$2),CI214),"")</f>
        <v/>
      </c>
      <c r="CN214" t="s">
        <v>495</v>
      </c>
      <c r="CO214" s="492"/>
      <c r="CP214" t="str">
        <f t="shared" si="243"/>
        <v>Timely communication of important information</v>
      </c>
      <c r="CQ214" t="str">
        <f t="shared" si="253"/>
        <v>References</v>
      </c>
      <c r="CR214" t="str">
        <f t="shared" si="277"/>
        <v>4.3.4.RX</v>
      </c>
      <c r="CS214" t="str">
        <f>IF(AND(CO214&lt;&gt;"",LEFT(CO214,1)&lt;&gt;"#"),IF(LEFT(CO214,1)="-",REPLACE(CO214,1,1,tech!$H$2),CO214),"")</f>
        <v/>
      </c>
      <c r="CT214" t="s">
        <v>495</v>
      </c>
    </row>
    <row r="215" spans="15:98" x14ac:dyDescent="0.25">
      <c r="O215" s="492"/>
      <c r="P215" t="str">
        <f t="shared" si="254"/>
        <v>Policies are periodically reviewed and updated</v>
      </c>
      <c r="Q215" t="str">
        <f t="shared" si="255"/>
        <v>References</v>
      </c>
      <c r="R215" t="str">
        <f t="shared" si="256"/>
        <v>1.2.5.RX</v>
      </c>
      <c r="S215" t="str">
        <f>IF(AND(O215&lt;&gt;"",LEFT(O215,1)&lt;&gt;"#"),IF(LEFT(O215,1)="-",REPLACE(O215,1,1,tech!$H$2),O215),"")</f>
        <v/>
      </c>
      <c r="T215" t="s">
        <v>495</v>
      </c>
      <c r="U215" s="492"/>
      <c r="V215" t="str">
        <f t="shared" si="257"/>
        <v>List of relevant laws, regulations, and standards, exist and is maintained</v>
      </c>
      <c r="W215" t="str">
        <f t="shared" si="258"/>
        <v>References</v>
      </c>
      <c r="X215" t="str">
        <f t="shared" si="259"/>
        <v>1.3.4.RX</v>
      </c>
      <c r="Y215" t="str">
        <f>IF(AND(U215&lt;&gt;"",LEFT(U215,1)&lt;&gt;"#"),IF(LEFT(U215,1)="-",REPLACE(U215,1,1,tech!$H$2),U215),"")</f>
        <v/>
      </c>
      <c r="Z215" t="s">
        <v>495</v>
      </c>
      <c r="AA215" s="492"/>
      <c r="AB215" t="str">
        <f t="shared" si="260"/>
        <v>Processes and procedures are reviewed and updated</v>
      </c>
      <c r="AC215" t="str">
        <f t="shared" si="261"/>
        <v>References</v>
      </c>
      <c r="AD215" t="str">
        <f t="shared" si="262"/>
        <v>1.4.5.RX</v>
      </c>
      <c r="AE215" t="str">
        <f>IF(AND(AA215&lt;&gt;"",LEFT(AA215,1)&lt;&gt;"#"),IF(LEFT(AA215,1)="-",REPLACE(AA215,1,1,tech!$H$2),AA215),"")</f>
        <v/>
      </c>
      <c r="AF215" t="s">
        <v>495</v>
      </c>
      <c r="AG215" s="492"/>
      <c r="AH215" t="str">
        <f t="shared" si="263"/>
        <v>Key management is periodically reviewed and updated</v>
      </c>
      <c r="AI215" t="str">
        <f t="shared" si="264"/>
        <v>References</v>
      </c>
      <c r="AJ215" t="str">
        <f t="shared" si="265"/>
        <v>2.1.6.RX</v>
      </c>
      <c r="AK215" t="str">
        <f>IF(AND(AG215&lt;&gt;"",LEFT(AG215,1)&lt;&gt;"#"),IF(LEFT(AG215,1)="-",REPLACE(AG215,1,1,tech!$H$2),AG215),"")</f>
        <v/>
      </c>
      <c r="AL215" t="s">
        <v>495</v>
      </c>
      <c r="AM215" s="492"/>
      <c r="AN215" t="str">
        <f t="shared" si="266"/>
        <v>Organizational PKI governance</v>
      </c>
      <c r="AO215" t="str">
        <f t="shared" si="267"/>
        <v>References</v>
      </c>
      <c r="AP215" t="str">
        <f t="shared" si="268"/>
        <v>2.2.7.RX</v>
      </c>
      <c r="AQ215" t="str">
        <f>IF(AND(AM215&lt;&gt;"",LEFT(AM215,1)&lt;&gt;"#"),IF(LEFT(AM215,1)="-",REPLACE(AM215,1,1,tech!$H$2),AM215),"")</f>
        <v/>
      </c>
      <c r="AR215" t="s">
        <v>495</v>
      </c>
      <c r="AS215" s="492"/>
      <c r="AT215" t="str">
        <f t="shared" si="235"/>
        <v>Infrastructure activities are periodically reviewed</v>
      </c>
      <c r="AU215" t="str">
        <f t="shared" si="245"/>
        <v>References</v>
      </c>
      <c r="AV215" t="str">
        <f t="shared" si="269"/>
        <v>2.3.5.RX</v>
      </c>
      <c r="AW215" t="str">
        <f>IF(AND(AS215&lt;&gt;"",LEFT(AS215,1)&lt;&gt;"#"),IF(LEFT(AS215,1)="-",REPLACE(AS215,1,1,tech!$H$2),AS215),"")</f>
        <v/>
      </c>
      <c r="AX215" t="s">
        <v>495</v>
      </c>
      <c r="AY215" s="492"/>
      <c r="AZ215" t="str">
        <f t="shared" si="236"/>
        <v>Change management and agility is periodically reviewed</v>
      </c>
      <c r="BA215" t="str">
        <f t="shared" si="246"/>
        <v>References</v>
      </c>
      <c r="BB215" t="str">
        <f t="shared" si="270"/>
        <v>2.4.5.RX</v>
      </c>
      <c r="BC215" t="str">
        <f>IF(AND(AY215&lt;&gt;"",LEFT(AY215,1)&lt;&gt;"#"),IF(LEFT(AY215,1)="-",REPLACE(AY215,1,1,tech!$H$2),AY215),"")</f>
        <v/>
      </c>
      <c r="BD215" t="s">
        <v>495</v>
      </c>
      <c r="BE215" s="492"/>
      <c r="BF215" t="str">
        <f t="shared" si="237"/>
        <v>Continual review and improvement</v>
      </c>
      <c r="BG215" t="str">
        <f t="shared" si="247"/>
        <v>References</v>
      </c>
      <c r="BH215" t="str">
        <f t="shared" si="271"/>
        <v>3.1.6.RX</v>
      </c>
      <c r="BI215" t="str">
        <f>IF(AND(BE215&lt;&gt;"",LEFT(BE215,1)&lt;&gt;"#"),IF(LEFT(BE215,1)="-",REPLACE(BE215,1,1,tech!$H$2),BE215),"")</f>
        <v/>
      </c>
      <c r="BJ215" t="s">
        <v>495</v>
      </c>
      <c r="BK215" s="492"/>
      <c r="BL215" t="str">
        <f t="shared" si="238"/>
        <v>Adoption and application of open standards</v>
      </c>
      <c r="BM215" t="str">
        <f t="shared" si="248"/>
        <v>References</v>
      </c>
      <c r="BN215" t="str">
        <f t="shared" si="272"/>
        <v>3.2.3.RX</v>
      </c>
      <c r="BO215" t="str">
        <f>IF(AND(BK215&lt;&gt;"",LEFT(BK215,1)&lt;&gt;"#"),IF(LEFT(BK215,1)="-",REPLACE(BK215,1,1,tech!$H$2),BK215),"")</f>
        <v/>
      </c>
      <c r="BP215" t="s">
        <v>495</v>
      </c>
      <c r="BQ215" s="492"/>
      <c r="BR215" t="str">
        <f t="shared" si="239"/>
        <v>Review of events and logs is periodically performed</v>
      </c>
      <c r="BS215" t="str">
        <f t="shared" si="249"/>
        <v>References</v>
      </c>
      <c r="BT215" t="str">
        <f t="shared" si="273"/>
        <v>3.3.6.RX</v>
      </c>
      <c r="BU215" t="str">
        <f>IF(AND(BQ215&lt;&gt;"",LEFT(BQ215,1)&lt;&gt;"#"),IF(LEFT(BQ215,1)="-",REPLACE(BQ215,1,1,tech!$H$2),BQ215),"")</f>
        <v/>
      </c>
      <c r="BV215" t="s">
        <v>495</v>
      </c>
      <c r="BW215" s="492"/>
      <c r="BX215" t="str">
        <f t="shared" si="240"/>
        <v>Incidents and exceptions handling</v>
      </c>
      <c r="BY215" t="str">
        <f t="shared" si="250"/>
        <v>References</v>
      </c>
      <c r="BZ215" t="str">
        <f t="shared" si="274"/>
        <v>3.4.3.RX</v>
      </c>
      <c r="CA215" t="str">
        <f>IF(AND(BW215&lt;&gt;"",LEFT(BW215,1)&lt;&gt;"#"),IF(LEFT(BW215,1)="-",REPLACE(BW215,1,1,tech!$H$2),BW215),"")</f>
        <v/>
      </c>
      <c r="CB215" t="s">
        <v>495</v>
      </c>
      <c r="CC215" s="492"/>
      <c r="CD215" t="str">
        <f t="shared" si="241"/>
        <v>Resources are periodically reviewed</v>
      </c>
      <c r="CE215" t="str">
        <f t="shared" si="251"/>
        <v>References</v>
      </c>
      <c r="CF215" t="str">
        <f t="shared" si="275"/>
        <v>4.1.4.RX</v>
      </c>
      <c r="CG215" t="str">
        <f>IF(AND(CC215&lt;&gt;"",LEFT(CC215,1)&lt;&gt;"#"),IF(LEFT(CC215,1)="-",REPLACE(CC215,1,1,tech!$H$2),CC215),"")</f>
        <v/>
      </c>
      <c r="CH215" t="s">
        <v>495</v>
      </c>
      <c r="CI215" s="492"/>
      <c r="CJ215" t="str">
        <f t="shared" si="242"/>
        <v>Periodically review knowledge</v>
      </c>
      <c r="CK215" t="str">
        <f t="shared" si="252"/>
        <v>References</v>
      </c>
      <c r="CL215" t="str">
        <f t="shared" si="276"/>
        <v>4.2.5.RX</v>
      </c>
      <c r="CM215" t="str">
        <f>IF(AND(CI215&lt;&gt;"",LEFT(CI215,1)&lt;&gt;"#"),IF(LEFT(CI215,1)="-",REPLACE(CI215,1,1,tech!$H$2),CI215),"")</f>
        <v/>
      </c>
      <c r="CN215" t="s">
        <v>495</v>
      </c>
      <c r="CO215" s="492"/>
      <c r="CP215" t="str">
        <f t="shared" si="243"/>
        <v>Timely communication of important information</v>
      </c>
      <c r="CQ215" t="str">
        <f t="shared" si="253"/>
        <v>References</v>
      </c>
      <c r="CR215" t="str">
        <f t="shared" si="277"/>
        <v>4.3.4.RX</v>
      </c>
      <c r="CS215" t="str">
        <f>IF(AND(CO215&lt;&gt;"",LEFT(CO215,1)&lt;&gt;"#"),IF(LEFT(CO215,1)="-",REPLACE(CO215,1,1,tech!$H$2),CO215),"")</f>
        <v/>
      </c>
      <c r="CT215" t="s">
        <v>495</v>
      </c>
    </row>
    <row r="216" spans="15:98" x14ac:dyDescent="0.25">
      <c r="O216" s="492"/>
      <c r="P216" t="str">
        <f t="shared" si="254"/>
        <v>Policies are periodically reviewed and updated</v>
      </c>
      <c r="Q216" t="str">
        <f t="shared" si="255"/>
        <v>References</v>
      </c>
      <c r="R216" t="str">
        <f t="shared" si="256"/>
        <v>1.2.5.RX</v>
      </c>
      <c r="S216" t="str">
        <f>IF(AND(O216&lt;&gt;"",LEFT(O216,1)&lt;&gt;"#"),IF(LEFT(O216,1)="-",REPLACE(O216,1,1,tech!$H$2),O216),"")</f>
        <v/>
      </c>
      <c r="T216" t="s">
        <v>495</v>
      </c>
      <c r="U216" s="492"/>
      <c r="V216" t="str">
        <f t="shared" si="257"/>
        <v>List of relevant laws, regulations, and standards, exist and is maintained</v>
      </c>
      <c r="W216" t="str">
        <f t="shared" si="258"/>
        <v>References</v>
      </c>
      <c r="X216" t="str">
        <f t="shared" si="259"/>
        <v>1.3.4.RX</v>
      </c>
      <c r="Y216" t="str">
        <f>IF(AND(U216&lt;&gt;"",LEFT(U216,1)&lt;&gt;"#"),IF(LEFT(U216,1)="-",REPLACE(U216,1,1,tech!$H$2),U216),"")</f>
        <v/>
      </c>
      <c r="Z216" t="s">
        <v>495</v>
      </c>
      <c r="AA216" s="492"/>
      <c r="AB216" t="str">
        <f t="shared" si="260"/>
        <v>Processes and procedures are reviewed and updated</v>
      </c>
      <c r="AC216" t="str">
        <f t="shared" si="261"/>
        <v>References</v>
      </c>
      <c r="AD216" t="str">
        <f t="shared" si="262"/>
        <v>1.4.5.RX</v>
      </c>
      <c r="AE216" t="str">
        <f>IF(AND(AA216&lt;&gt;"",LEFT(AA216,1)&lt;&gt;"#"),IF(LEFT(AA216,1)="-",REPLACE(AA216,1,1,tech!$H$2),AA216),"")</f>
        <v/>
      </c>
      <c r="AF216" t="s">
        <v>495</v>
      </c>
      <c r="AG216" s="492"/>
      <c r="AH216" t="str">
        <f t="shared" si="263"/>
        <v>Key management is periodically reviewed and updated</v>
      </c>
      <c r="AI216" t="str">
        <f t="shared" si="264"/>
        <v>References</v>
      </c>
      <c r="AJ216" t="str">
        <f t="shared" si="265"/>
        <v>2.1.6.RX</v>
      </c>
      <c r="AK216" t="str">
        <f>IF(AND(AG216&lt;&gt;"",LEFT(AG216,1)&lt;&gt;"#"),IF(LEFT(AG216,1)="-",REPLACE(AG216,1,1,tech!$H$2),AG216),"")</f>
        <v/>
      </c>
      <c r="AL216" t="s">
        <v>495</v>
      </c>
      <c r="AM216" s="492"/>
      <c r="AN216" t="str">
        <f t="shared" si="266"/>
        <v>Organizational PKI governance</v>
      </c>
      <c r="AO216" t="str">
        <f t="shared" si="267"/>
        <v>References</v>
      </c>
      <c r="AP216" t="str">
        <f t="shared" si="268"/>
        <v>2.2.7.RX</v>
      </c>
      <c r="AQ216" t="str">
        <f>IF(AND(AM216&lt;&gt;"",LEFT(AM216,1)&lt;&gt;"#"),IF(LEFT(AM216,1)="-",REPLACE(AM216,1,1,tech!$H$2),AM216),"")</f>
        <v/>
      </c>
      <c r="AR216" t="s">
        <v>495</v>
      </c>
      <c r="AS216" s="492"/>
      <c r="AT216" t="str">
        <f t="shared" si="235"/>
        <v>Infrastructure activities are periodically reviewed</v>
      </c>
      <c r="AU216" t="str">
        <f t="shared" si="245"/>
        <v>References</v>
      </c>
      <c r="AV216" t="str">
        <f t="shared" si="269"/>
        <v>2.3.5.RX</v>
      </c>
      <c r="AW216" t="str">
        <f>IF(AND(AS216&lt;&gt;"",LEFT(AS216,1)&lt;&gt;"#"),IF(LEFT(AS216,1)="-",REPLACE(AS216,1,1,tech!$H$2),AS216),"")</f>
        <v/>
      </c>
      <c r="AX216" t="s">
        <v>495</v>
      </c>
      <c r="AY216" s="492"/>
      <c r="AZ216" t="str">
        <f t="shared" si="236"/>
        <v>Change management and agility is periodically reviewed</v>
      </c>
      <c r="BA216" t="str">
        <f t="shared" si="246"/>
        <v>References</v>
      </c>
      <c r="BB216" t="str">
        <f t="shared" si="270"/>
        <v>2.4.5.RX</v>
      </c>
      <c r="BC216" t="str">
        <f>IF(AND(AY216&lt;&gt;"",LEFT(AY216,1)&lt;&gt;"#"),IF(LEFT(AY216,1)="-",REPLACE(AY216,1,1,tech!$H$2),AY216),"")</f>
        <v/>
      </c>
      <c r="BD216" t="s">
        <v>495</v>
      </c>
      <c r="BE216" s="492"/>
      <c r="BF216" t="str">
        <f t="shared" si="237"/>
        <v>Continual review and improvement</v>
      </c>
      <c r="BG216" t="str">
        <f t="shared" si="247"/>
        <v>References</v>
      </c>
      <c r="BH216" t="str">
        <f t="shared" si="271"/>
        <v>3.1.6.RX</v>
      </c>
      <c r="BI216" t="str">
        <f>IF(AND(BE216&lt;&gt;"",LEFT(BE216,1)&lt;&gt;"#"),IF(LEFT(BE216,1)="-",REPLACE(BE216,1,1,tech!$H$2),BE216),"")</f>
        <v/>
      </c>
      <c r="BJ216" t="s">
        <v>495</v>
      </c>
      <c r="BK216" s="492"/>
      <c r="BL216" t="str">
        <f t="shared" si="238"/>
        <v>Adoption and application of open standards</v>
      </c>
      <c r="BM216" t="str">
        <f t="shared" si="248"/>
        <v>References</v>
      </c>
      <c r="BN216" t="str">
        <f t="shared" si="272"/>
        <v>3.2.3.RX</v>
      </c>
      <c r="BO216" t="str">
        <f>IF(AND(BK216&lt;&gt;"",LEFT(BK216,1)&lt;&gt;"#"),IF(LEFT(BK216,1)="-",REPLACE(BK216,1,1,tech!$H$2),BK216),"")</f>
        <v/>
      </c>
      <c r="BP216" t="s">
        <v>495</v>
      </c>
      <c r="BQ216" s="492"/>
      <c r="BR216" t="str">
        <f t="shared" si="239"/>
        <v>Review of events and logs is periodically performed</v>
      </c>
      <c r="BS216" t="str">
        <f t="shared" si="249"/>
        <v>References</v>
      </c>
      <c r="BT216" t="str">
        <f t="shared" si="273"/>
        <v>3.3.6.RX</v>
      </c>
      <c r="BU216" t="str">
        <f>IF(AND(BQ216&lt;&gt;"",LEFT(BQ216,1)&lt;&gt;"#"),IF(LEFT(BQ216,1)="-",REPLACE(BQ216,1,1,tech!$H$2),BQ216),"")</f>
        <v/>
      </c>
      <c r="BV216" t="s">
        <v>495</v>
      </c>
      <c r="BW216" s="492"/>
      <c r="BX216" t="str">
        <f t="shared" si="240"/>
        <v>Incidents and exceptions handling</v>
      </c>
      <c r="BY216" t="str">
        <f t="shared" si="250"/>
        <v>References</v>
      </c>
      <c r="BZ216" t="str">
        <f t="shared" si="274"/>
        <v>3.4.3.RX</v>
      </c>
      <c r="CA216" t="str">
        <f>IF(AND(BW216&lt;&gt;"",LEFT(BW216,1)&lt;&gt;"#"),IF(LEFT(BW216,1)="-",REPLACE(BW216,1,1,tech!$H$2),BW216),"")</f>
        <v/>
      </c>
      <c r="CB216" t="s">
        <v>495</v>
      </c>
      <c r="CC216" s="492"/>
      <c r="CD216" t="str">
        <f t="shared" si="241"/>
        <v>Resources are periodically reviewed</v>
      </c>
      <c r="CE216" t="str">
        <f t="shared" si="251"/>
        <v>References</v>
      </c>
      <c r="CF216" t="str">
        <f t="shared" si="275"/>
        <v>4.1.4.RX</v>
      </c>
      <c r="CG216" t="str">
        <f>IF(AND(CC216&lt;&gt;"",LEFT(CC216,1)&lt;&gt;"#"),IF(LEFT(CC216,1)="-",REPLACE(CC216,1,1,tech!$H$2),CC216),"")</f>
        <v/>
      </c>
      <c r="CH216" t="s">
        <v>495</v>
      </c>
      <c r="CI216" s="492"/>
      <c r="CJ216" t="str">
        <f t="shared" si="242"/>
        <v>Periodically review knowledge</v>
      </c>
      <c r="CK216" t="str">
        <f t="shared" si="252"/>
        <v>References</v>
      </c>
      <c r="CL216" t="str">
        <f t="shared" si="276"/>
        <v>4.2.5.RX</v>
      </c>
      <c r="CM216" t="str">
        <f>IF(AND(CI216&lt;&gt;"",LEFT(CI216,1)&lt;&gt;"#"),IF(LEFT(CI216,1)="-",REPLACE(CI216,1,1,tech!$H$2),CI216),"")</f>
        <v/>
      </c>
      <c r="CN216" t="s">
        <v>495</v>
      </c>
      <c r="CO216" s="492"/>
      <c r="CP216" t="str">
        <f t="shared" si="243"/>
        <v>Timely communication of important information</v>
      </c>
      <c r="CQ216" t="str">
        <f t="shared" si="253"/>
        <v>References</v>
      </c>
      <c r="CR216" t="str">
        <f t="shared" si="277"/>
        <v>4.3.4.RX</v>
      </c>
      <c r="CS216" t="str">
        <f>IF(AND(CO216&lt;&gt;"",LEFT(CO216,1)&lt;&gt;"#"),IF(LEFT(CO216,1)="-",REPLACE(CO216,1,1,tech!$H$2),CO216),"")</f>
        <v/>
      </c>
      <c r="CT216" t="s">
        <v>495</v>
      </c>
    </row>
    <row r="217" spans="15:98" x14ac:dyDescent="0.25">
      <c r="O217" s="492"/>
      <c r="P217" t="str">
        <f t="shared" si="254"/>
        <v>Policies are periodically reviewed and updated</v>
      </c>
      <c r="Q217" t="str">
        <f t="shared" si="255"/>
        <v>References</v>
      </c>
      <c r="R217" t="str">
        <f t="shared" si="256"/>
        <v>1.2.5.RX</v>
      </c>
      <c r="S217" t="str">
        <f>IF(AND(O217&lt;&gt;"",LEFT(O217,1)&lt;&gt;"#"),IF(LEFT(O217,1)="-",REPLACE(O217,1,1,tech!$H$2),O217),"")</f>
        <v/>
      </c>
      <c r="T217" t="s">
        <v>495</v>
      </c>
      <c r="U217" s="492"/>
      <c r="V217" t="str">
        <f t="shared" si="257"/>
        <v>List of relevant laws, regulations, and standards, exist and is maintained</v>
      </c>
      <c r="W217" t="str">
        <f t="shared" si="258"/>
        <v>References</v>
      </c>
      <c r="X217" t="str">
        <f t="shared" si="259"/>
        <v>1.3.4.RX</v>
      </c>
      <c r="Y217" t="str">
        <f>IF(AND(U217&lt;&gt;"",LEFT(U217,1)&lt;&gt;"#"),IF(LEFT(U217,1)="-",REPLACE(U217,1,1,tech!$H$2),U217),"")</f>
        <v/>
      </c>
      <c r="Z217" t="s">
        <v>495</v>
      </c>
      <c r="AA217" s="492"/>
      <c r="AB217" t="str">
        <f t="shared" si="260"/>
        <v>Processes and procedures are reviewed and updated</v>
      </c>
      <c r="AC217" t="str">
        <f t="shared" si="261"/>
        <v>References</v>
      </c>
      <c r="AD217" t="str">
        <f t="shared" si="262"/>
        <v>1.4.5.RX</v>
      </c>
      <c r="AE217" t="str">
        <f>IF(AND(AA217&lt;&gt;"",LEFT(AA217,1)&lt;&gt;"#"),IF(LEFT(AA217,1)="-",REPLACE(AA217,1,1,tech!$H$2),AA217),"")</f>
        <v/>
      </c>
      <c r="AF217" t="s">
        <v>495</v>
      </c>
      <c r="AG217" s="492"/>
      <c r="AH217" t="str">
        <f t="shared" si="263"/>
        <v>Key management is periodically reviewed and updated</v>
      </c>
      <c r="AI217" t="str">
        <f t="shared" si="264"/>
        <v>References</v>
      </c>
      <c r="AJ217" t="str">
        <f t="shared" si="265"/>
        <v>2.1.6.RX</v>
      </c>
      <c r="AK217" t="str">
        <f>IF(AND(AG217&lt;&gt;"",LEFT(AG217,1)&lt;&gt;"#"),IF(LEFT(AG217,1)="-",REPLACE(AG217,1,1,tech!$H$2),AG217),"")</f>
        <v/>
      </c>
      <c r="AL217" t="s">
        <v>495</v>
      </c>
      <c r="AM217" s="492"/>
      <c r="AN217" t="str">
        <f t="shared" si="266"/>
        <v>Organizational PKI governance</v>
      </c>
      <c r="AO217" t="str">
        <f t="shared" si="267"/>
        <v>References</v>
      </c>
      <c r="AP217" t="str">
        <f t="shared" si="268"/>
        <v>2.2.7.RX</v>
      </c>
      <c r="AQ217" t="str">
        <f>IF(AND(AM217&lt;&gt;"",LEFT(AM217,1)&lt;&gt;"#"),IF(LEFT(AM217,1)="-",REPLACE(AM217,1,1,tech!$H$2),AM217),"")</f>
        <v/>
      </c>
      <c r="AR217" t="s">
        <v>495</v>
      </c>
      <c r="AS217" s="492"/>
      <c r="AT217" t="str">
        <f t="shared" si="235"/>
        <v>Infrastructure activities are periodically reviewed</v>
      </c>
      <c r="AU217" t="str">
        <f t="shared" si="245"/>
        <v>References</v>
      </c>
      <c r="AV217" t="str">
        <f t="shared" si="269"/>
        <v>2.3.5.RX</v>
      </c>
      <c r="AW217" t="str">
        <f>IF(AND(AS217&lt;&gt;"",LEFT(AS217,1)&lt;&gt;"#"),IF(LEFT(AS217,1)="-",REPLACE(AS217,1,1,tech!$H$2),AS217),"")</f>
        <v/>
      </c>
      <c r="AX217" t="s">
        <v>495</v>
      </c>
      <c r="AY217" s="492"/>
      <c r="AZ217" t="str">
        <f t="shared" si="236"/>
        <v>Change management and agility is periodically reviewed</v>
      </c>
      <c r="BA217" t="str">
        <f t="shared" si="246"/>
        <v>References</v>
      </c>
      <c r="BB217" t="str">
        <f t="shared" si="270"/>
        <v>2.4.5.RX</v>
      </c>
      <c r="BC217" t="str">
        <f>IF(AND(AY217&lt;&gt;"",LEFT(AY217,1)&lt;&gt;"#"),IF(LEFT(AY217,1)="-",REPLACE(AY217,1,1,tech!$H$2),AY217),"")</f>
        <v/>
      </c>
      <c r="BD217" t="s">
        <v>495</v>
      </c>
      <c r="BE217" s="492"/>
      <c r="BF217" t="str">
        <f t="shared" si="237"/>
        <v>Continual review and improvement</v>
      </c>
      <c r="BG217" t="str">
        <f t="shared" si="247"/>
        <v>References</v>
      </c>
      <c r="BH217" t="str">
        <f t="shared" si="271"/>
        <v>3.1.6.RX</v>
      </c>
      <c r="BI217" t="str">
        <f>IF(AND(BE217&lt;&gt;"",LEFT(BE217,1)&lt;&gt;"#"),IF(LEFT(BE217,1)="-",REPLACE(BE217,1,1,tech!$H$2),BE217),"")</f>
        <v/>
      </c>
      <c r="BJ217" t="s">
        <v>495</v>
      </c>
      <c r="BK217" s="492"/>
      <c r="BL217" t="str">
        <f t="shared" si="238"/>
        <v>Adoption and application of open standards</v>
      </c>
      <c r="BM217" t="str">
        <f t="shared" si="248"/>
        <v>References</v>
      </c>
      <c r="BN217" t="str">
        <f t="shared" si="272"/>
        <v>3.2.3.RX</v>
      </c>
      <c r="BO217" t="str">
        <f>IF(AND(BK217&lt;&gt;"",LEFT(BK217,1)&lt;&gt;"#"),IF(LEFT(BK217,1)="-",REPLACE(BK217,1,1,tech!$H$2),BK217),"")</f>
        <v/>
      </c>
      <c r="BP217" t="s">
        <v>495</v>
      </c>
      <c r="BQ217" s="492"/>
      <c r="BR217" t="str">
        <f t="shared" si="239"/>
        <v>Review of events and logs is periodically performed</v>
      </c>
      <c r="BS217" t="str">
        <f t="shared" si="249"/>
        <v>References</v>
      </c>
      <c r="BT217" t="str">
        <f t="shared" si="273"/>
        <v>3.3.6.RX</v>
      </c>
      <c r="BU217" t="str">
        <f>IF(AND(BQ217&lt;&gt;"",LEFT(BQ217,1)&lt;&gt;"#"),IF(LEFT(BQ217,1)="-",REPLACE(BQ217,1,1,tech!$H$2),BQ217),"")</f>
        <v/>
      </c>
      <c r="BV217" t="s">
        <v>495</v>
      </c>
      <c r="BW217" s="492"/>
      <c r="BX217" t="str">
        <f t="shared" si="240"/>
        <v>Incidents and exceptions handling</v>
      </c>
      <c r="BY217" t="str">
        <f t="shared" si="250"/>
        <v>References</v>
      </c>
      <c r="BZ217" t="str">
        <f t="shared" si="274"/>
        <v>3.4.3.RX</v>
      </c>
      <c r="CA217" t="str">
        <f>IF(AND(BW217&lt;&gt;"",LEFT(BW217,1)&lt;&gt;"#"),IF(LEFT(BW217,1)="-",REPLACE(BW217,1,1,tech!$H$2),BW217),"")</f>
        <v/>
      </c>
      <c r="CB217" t="s">
        <v>495</v>
      </c>
      <c r="CC217" s="492"/>
      <c r="CD217" t="str">
        <f t="shared" si="241"/>
        <v>Resources are periodically reviewed</v>
      </c>
      <c r="CE217" t="str">
        <f t="shared" si="251"/>
        <v>References</v>
      </c>
      <c r="CF217" t="str">
        <f t="shared" si="275"/>
        <v>4.1.4.RX</v>
      </c>
      <c r="CG217" t="str">
        <f>IF(AND(CC217&lt;&gt;"",LEFT(CC217,1)&lt;&gt;"#"),IF(LEFT(CC217,1)="-",REPLACE(CC217,1,1,tech!$H$2),CC217),"")</f>
        <v/>
      </c>
      <c r="CH217" t="s">
        <v>495</v>
      </c>
      <c r="CI217" s="492"/>
      <c r="CJ217" t="str">
        <f t="shared" si="242"/>
        <v>Periodically review knowledge</v>
      </c>
      <c r="CK217" t="str">
        <f t="shared" si="252"/>
        <v>References</v>
      </c>
      <c r="CL217" t="str">
        <f t="shared" si="276"/>
        <v>4.2.5.RX</v>
      </c>
      <c r="CM217" t="str">
        <f>IF(AND(CI217&lt;&gt;"",LEFT(CI217,1)&lt;&gt;"#"),IF(LEFT(CI217,1)="-",REPLACE(CI217,1,1,tech!$H$2),CI217),"")</f>
        <v/>
      </c>
      <c r="CN217" t="s">
        <v>495</v>
      </c>
      <c r="CO217" s="492"/>
      <c r="CP217" t="str">
        <f t="shared" si="243"/>
        <v>Timely communication of important information</v>
      </c>
      <c r="CQ217" t="str">
        <f t="shared" si="253"/>
        <v>References</v>
      </c>
      <c r="CR217" t="str">
        <f t="shared" si="277"/>
        <v>4.3.4.RX</v>
      </c>
      <c r="CS217" t="str">
        <f>IF(AND(CO217&lt;&gt;"",LEFT(CO217,1)&lt;&gt;"#"),IF(LEFT(CO217,1)="-",REPLACE(CO217,1,1,tech!$H$2),CO217),"")</f>
        <v/>
      </c>
      <c r="CT217" t="s">
        <v>495</v>
      </c>
    </row>
    <row r="218" spans="15:98" x14ac:dyDescent="0.25">
      <c r="O218" s="492"/>
      <c r="P218" t="str">
        <f t="shared" si="254"/>
        <v>Policies are periodically reviewed and updated</v>
      </c>
      <c r="Q218" t="str">
        <f t="shared" si="255"/>
        <v>References</v>
      </c>
      <c r="R218" t="str">
        <f t="shared" si="256"/>
        <v>1.2.5.RX</v>
      </c>
      <c r="S218" t="str">
        <f>IF(AND(O218&lt;&gt;"",LEFT(O218,1)&lt;&gt;"#"),IF(LEFT(O218,1)="-",REPLACE(O218,1,1,tech!$H$2),O218),"")</f>
        <v/>
      </c>
      <c r="T218" t="s">
        <v>495</v>
      </c>
      <c r="U218" s="492"/>
      <c r="V218" t="str">
        <f t="shared" si="257"/>
        <v>List of relevant laws, regulations, and standards, exist and is maintained</v>
      </c>
      <c r="W218" t="str">
        <f t="shared" si="258"/>
        <v>References</v>
      </c>
      <c r="X218" t="str">
        <f t="shared" si="259"/>
        <v>1.3.4.RX</v>
      </c>
      <c r="Y218" t="str">
        <f>IF(AND(U218&lt;&gt;"",LEFT(U218,1)&lt;&gt;"#"),IF(LEFT(U218,1)="-",REPLACE(U218,1,1,tech!$H$2),U218),"")</f>
        <v/>
      </c>
      <c r="Z218" t="s">
        <v>495</v>
      </c>
      <c r="AA218" s="492"/>
      <c r="AB218" t="str">
        <f t="shared" si="260"/>
        <v>Processes and procedures are reviewed and updated</v>
      </c>
      <c r="AC218" t="str">
        <f t="shared" si="261"/>
        <v>References</v>
      </c>
      <c r="AD218" t="str">
        <f t="shared" si="262"/>
        <v>1.4.5.RX</v>
      </c>
      <c r="AE218" t="str">
        <f>IF(AND(AA218&lt;&gt;"",LEFT(AA218,1)&lt;&gt;"#"),IF(LEFT(AA218,1)="-",REPLACE(AA218,1,1,tech!$H$2),AA218),"")</f>
        <v/>
      </c>
      <c r="AF218" t="s">
        <v>495</v>
      </c>
      <c r="AG218" s="492"/>
      <c r="AH218" t="str">
        <f t="shared" si="263"/>
        <v>Key management is periodically reviewed and updated</v>
      </c>
      <c r="AI218" t="str">
        <f t="shared" si="264"/>
        <v>References</v>
      </c>
      <c r="AJ218" t="str">
        <f t="shared" si="265"/>
        <v>2.1.6.RX</v>
      </c>
      <c r="AK218" t="str">
        <f>IF(AND(AG218&lt;&gt;"",LEFT(AG218,1)&lt;&gt;"#"),IF(LEFT(AG218,1)="-",REPLACE(AG218,1,1,tech!$H$2),AG218),"")</f>
        <v/>
      </c>
      <c r="AL218" t="s">
        <v>495</v>
      </c>
      <c r="AM218" s="492"/>
      <c r="AN218" t="str">
        <f t="shared" si="266"/>
        <v>Organizational PKI governance</v>
      </c>
      <c r="AO218" t="str">
        <f t="shared" si="267"/>
        <v>References</v>
      </c>
      <c r="AP218" t="str">
        <f t="shared" si="268"/>
        <v>2.2.7.RX</v>
      </c>
      <c r="AQ218" t="str">
        <f>IF(AND(AM218&lt;&gt;"",LEFT(AM218,1)&lt;&gt;"#"),IF(LEFT(AM218,1)="-",REPLACE(AM218,1,1,tech!$H$2),AM218),"")</f>
        <v/>
      </c>
      <c r="AR218" t="s">
        <v>495</v>
      </c>
      <c r="AS218" s="492"/>
      <c r="AT218" t="str">
        <f t="shared" si="235"/>
        <v>Infrastructure activities are periodically reviewed</v>
      </c>
      <c r="AU218" t="str">
        <f t="shared" si="245"/>
        <v>References</v>
      </c>
      <c r="AV218" t="str">
        <f t="shared" si="269"/>
        <v>2.3.5.RX</v>
      </c>
      <c r="AW218" t="str">
        <f>IF(AND(AS218&lt;&gt;"",LEFT(AS218,1)&lt;&gt;"#"),IF(LEFT(AS218,1)="-",REPLACE(AS218,1,1,tech!$H$2),AS218),"")</f>
        <v/>
      </c>
      <c r="AX218" t="s">
        <v>495</v>
      </c>
      <c r="AY218" s="492"/>
      <c r="AZ218" t="str">
        <f t="shared" si="236"/>
        <v>Change management and agility is periodically reviewed</v>
      </c>
      <c r="BA218" t="str">
        <f t="shared" si="246"/>
        <v>References</v>
      </c>
      <c r="BB218" t="str">
        <f t="shared" si="270"/>
        <v>2.4.5.RX</v>
      </c>
      <c r="BC218" t="str">
        <f>IF(AND(AY218&lt;&gt;"",LEFT(AY218,1)&lt;&gt;"#"),IF(LEFT(AY218,1)="-",REPLACE(AY218,1,1,tech!$H$2),AY218),"")</f>
        <v/>
      </c>
      <c r="BD218" t="s">
        <v>495</v>
      </c>
      <c r="BE218" s="492"/>
      <c r="BF218" t="str">
        <f t="shared" si="237"/>
        <v>Continual review and improvement</v>
      </c>
      <c r="BG218" t="str">
        <f t="shared" si="247"/>
        <v>References</v>
      </c>
      <c r="BH218" t="str">
        <f t="shared" si="271"/>
        <v>3.1.6.RX</v>
      </c>
      <c r="BI218" t="str">
        <f>IF(AND(BE218&lt;&gt;"",LEFT(BE218,1)&lt;&gt;"#"),IF(LEFT(BE218,1)="-",REPLACE(BE218,1,1,tech!$H$2),BE218),"")</f>
        <v/>
      </c>
      <c r="BJ218" t="s">
        <v>495</v>
      </c>
      <c r="BK218" s="492"/>
      <c r="BL218" t="str">
        <f t="shared" si="238"/>
        <v>Adoption and application of open standards</v>
      </c>
      <c r="BM218" t="str">
        <f t="shared" si="248"/>
        <v>References</v>
      </c>
      <c r="BN218" t="str">
        <f t="shared" si="272"/>
        <v>3.2.3.RX</v>
      </c>
      <c r="BO218" t="str">
        <f>IF(AND(BK218&lt;&gt;"",LEFT(BK218,1)&lt;&gt;"#"),IF(LEFT(BK218,1)="-",REPLACE(BK218,1,1,tech!$H$2),BK218),"")</f>
        <v/>
      </c>
      <c r="BP218" t="s">
        <v>495</v>
      </c>
      <c r="BQ218" s="492"/>
      <c r="BR218" t="str">
        <f t="shared" si="239"/>
        <v>Review of events and logs is periodically performed</v>
      </c>
      <c r="BS218" t="str">
        <f t="shared" si="249"/>
        <v>References</v>
      </c>
      <c r="BT218" t="str">
        <f t="shared" si="273"/>
        <v>3.3.6.RX</v>
      </c>
      <c r="BU218" t="str">
        <f>IF(AND(BQ218&lt;&gt;"",LEFT(BQ218,1)&lt;&gt;"#"),IF(LEFT(BQ218,1)="-",REPLACE(BQ218,1,1,tech!$H$2),BQ218),"")</f>
        <v/>
      </c>
      <c r="BV218" t="s">
        <v>495</v>
      </c>
      <c r="BW218" s="492"/>
      <c r="BX218" t="str">
        <f t="shared" si="240"/>
        <v>Incidents and exceptions handling</v>
      </c>
      <c r="BY218" t="str">
        <f t="shared" si="250"/>
        <v>References</v>
      </c>
      <c r="BZ218" t="str">
        <f t="shared" si="274"/>
        <v>3.4.3.RX</v>
      </c>
      <c r="CA218" t="str">
        <f>IF(AND(BW218&lt;&gt;"",LEFT(BW218,1)&lt;&gt;"#"),IF(LEFT(BW218,1)="-",REPLACE(BW218,1,1,tech!$H$2),BW218),"")</f>
        <v/>
      </c>
      <c r="CB218" t="s">
        <v>495</v>
      </c>
      <c r="CC218" s="492"/>
      <c r="CD218" t="str">
        <f t="shared" si="241"/>
        <v>Resources are periodically reviewed</v>
      </c>
      <c r="CE218" t="str">
        <f t="shared" si="251"/>
        <v>References</v>
      </c>
      <c r="CF218" t="str">
        <f t="shared" si="275"/>
        <v>4.1.4.RX</v>
      </c>
      <c r="CG218" t="str">
        <f>IF(AND(CC218&lt;&gt;"",LEFT(CC218,1)&lt;&gt;"#"),IF(LEFT(CC218,1)="-",REPLACE(CC218,1,1,tech!$H$2),CC218),"")</f>
        <v/>
      </c>
      <c r="CH218" t="s">
        <v>495</v>
      </c>
      <c r="CI218" s="492"/>
      <c r="CJ218" t="str">
        <f t="shared" si="242"/>
        <v>Periodically review knowledge</v>
      </c>
      <c r="CK218" t="str">
        <f t="shared" si="252"/>
        <v>References</v>
      </c>
      <c r="CL218" t="str">
        <f t="shared" si="276"/>
        <v>4.2.5.RX</v>
      </c>
      <c r="CM218" t="str">
        <f>IF(AND(CI218&lt;&gt;"",LEFT(CI218,1)&lt;&gt;"#"),IF(LEFT(CI218,1)="-",REPLACE(CI218,1,1,tech!$H$2),CI218),"")</f>
        <v/>
      </c>
      <c r="CN218" t="s">
        <v>495</v>
      </c>
      <c r="CO218" s="492"/>
      <c r="CP218" t="str">
        <f t="shared" si="243"/>
        <v>Timely communication of important information</v>
      </c>
      <c r="CQ218" t="str">
        <f t="shared" si="253"/>
        <v>References</v>
      </c>
      <c r="CR218" t="str">
        <f t="shared" si="277"/>
        <v>4.3.4.RX</v>
      </c>
      <c r="CS218" t="str">
        <f>IF(AND(CO218&lt;&gt;"",LEFT(CO218,1)&lt;&gt;"#"),IF(LEFT(CO218,1)="-",REPLACE(CO218,1,1,tech!$H$2),CO218),"")</f>
        <v/>
      </c>
      <c r="CT218" t="s">
        <v>495</v>
      </c>
    </row>
    <row r="219" spans="15:98" x14ac:dyDescent="0.25">
      <c r="O219" s="492"/>
      <c r="P219" t="str">
        <f t="shared" si="254"/>
        <v>Policies are periodically reviewed and updated</v>
      </c>
      <c r="Q219" t="str">
        <f t="shared" si="255"/>
        <v>References</v>
      </c>
      <c r="R219" t="str">
        <f t="shared" si="256"/>
        <v>1.2.5.RX</v>
      </c>
      <c r="S219" t="str">
        <f>IF(AND(O219&lt;&gt;"",LEFT(O219,1)&lt;&gt;"#"),IF(LEFT(O219,1)="-",REPLACE(O219,1,1,tech!$H$2),O219),"")</f>
        <v/>
      </c>
      <c r="T219" t="s">
        <v>495</v>
      </c>
      <c r="U219" s="492"/>
      <c r="V219" t="str">
        <f t="shared" si="257"/>
        <v>List of relevant laws, regulations, and standards, exist and is maintained</v>
      </c>
      <c r="W219" t="str">
        <f t="shared" si="258"/>
        <v>References</v>
      </c>
      <c r="X219" t="str">
        <f t="shared" si="259"/>
        <v>1.3.4.RX</v>
      </c>
      <c r="Y219" t="str">
        <f>IF(AND(U219&lt;&gt;"",LEFT(U219,1)&lt;&gt;"#"),IF(LEFT(U219,1)="-",REPLACE(U219,1,1,tech!$H$2),U219),"")</f>
        <v/>
      </c>
      <c r="Z219" t="s">
        <v>495</v>
      </c>
      <c r="AA219" s="492"/>
      <c r="AB219" t="str">
        <f t="shared" si="260"/>
        <v>Processes and procedures are reviewed and updated</v>
      </c>
      <c r="AC219" t="str">
        <f t="shared" si="261"/>
        <v>References</v>
      </c>
      <c r="AD219" t="str">
        <f t="shared" si="262"/>
        <v>1.4.5.RX</v>
      </c>
      <c r="AE219" t="str">
        <f>IF(AND(AA219&lt;&gt;"",LEFT(AA219,1)&lt;&gt;"#"),IF(LEFT(AA219,1)="-",REPLACE(AA219,1,1,tech!$H$2),AA219),"")</f>
        <v/>
      </c>
      <c r="AF219" t="s">
        <v>495</v>
      </c>
      <c r="AG219" s="492"/>
      <c r="AH219" t="str">
        <f t="shared" si="263"/>
        <v>Key management is periodically reviewed and updated</v>
      </c>
      <c r="AI219" t="str">
        <f t="shared" si="264"/>
        <v>References</v>
      </c>
      <c r="AJ219" t="str">
        <f t="shared" si="265"/>
        <v>2.1.6.RX</v>
      </c>
      <c r="AK219" t="str">
        <f>IF(AND(AG219&lt;&gt;"",LEFT(AG219,1)&lt;&gt;"#"),IF(LEFT(AG219,1)="-",REPLACE(AG219,1,1,tech!$H$2),AG219),"")</f>
        <v/>
      </c>
      <c r="AL219" t="s">
        <v>495</v>
      </c>
      <c r="AM219" s="492"/>
      <c r="AN219" t="str">
        <f t="shared" si="266"/>
        <v>Organizational PKI governance</v>
      </c>
      <c r="AO219" t="str">
        <f t="shared" si="267"/>
        <v>References</v>
      </c>
      <c r="AP219" t="str">
        <f t="shared" si="268"/>
        <v>2.2.7.RX</v>
      </c>
      <c r="AQ219" t="str">
        <f>IF(AND(AM219&lt;&gt;"",LEFT(AM219,1)&lt;&gt;"#"),IF(LEFT(AM219,1)="-",REPLACE(AM219,1,1,tech!$H$2),AM219),"")</f>
        <v/>
      </c>
      <c r="AR219" t="s">
        <v>495</v>
      </c>
      <c r="AS219" s="492"/>
      <c r="AT219" t="str">
        <f t="shared" si="235"/>
        <v>Infrastructure activities are periodically reviewed</v>
      </c>
      <c r="AU219" t="str">
        <f t="shared" si="245"/>
        <v>References</v>
      </c>
      <c r="AV219" t="str">
        <f t="shared" si="269"/>
        <v>2.3.5.RX</v>
      </c>
      <c r="AW219" t="str">
        <f>IF(AND(AS219&lt;&gt;"",LEFT(AS219,1)&lt;&gt;"#"),IF(LEFT(AS219,1)="-",REPLACE(AS219,1,1,tech!$H$2),AS219),"")</f>
        <v/>
      </c>
      <c r="AX219" t="s">
        <v>495</v>
      </c>
      <c r="AY219" s="492"/>
      <c r="AZ219" t="str">
        <f t="shared" si="236"/>
        <v>Change management and agility is periodically reviewed</v>
      </c>
      <c r="BA219" t="str">
        <f t="shared" si="246"/>
        <v>References</v>
      </c>
      <c r="BB219" t="str">
        <f t="shared" si="270"/>
        <v>2.4.5.RX</v>
      </c>
      <c r="BC219" t="str">
        <f>IF(AND(AY219&lt;&gt;"",LEFT(AY219,1)&lt;&gt;"#"),IF(LEFT(AY219,1)="-",REPLACE(AY219,1,1,tech!$H$2),AY219),"")</f>
        <v/>
      </c>
      <c r="BD219" t="s">
        <v>495</v>
      </c>
      <c r="BE219" s="492"/>
      <c r="BF219" t="str">
        <f t="shared" si="237"/>
        <v>Continual review and improvement</v>
      </c>
      <c r="BG219" t="str">
        <f t="shared" si="247"/>
        <v>References</v>
      </c>
      <c r="BH219" t="str">
        <f t="shared" si="271"/>
        <v>3.1.6.RX</v>
      </c>
      <c r="BI219" t="str">
        <f>IF(AND(BE219&lt;&gt;"",LEFT(BE219,1)&lt;&gt;"#"),IF(LEFT(BE219,1)="-",REPLACE(BE219,1,1,tech!$H$2),BE219),"")</f>
        <v/>
      </c>
      <c r="BJ219" t="s">
        <v>495</v>
      </c>
      <c r="BK219" s="492"/>
      <c r="BL219" t="str">
        <f t="shared" si="238"/>
        <v>Adoption and application of open standards</v>
      </c>
      <c r="BM219" t="str">
        <f t="shared" si="248"/>
        <v>References</v>
      </c>
      <c r="BN219" t="str">
        <f t="shared" si="272"/>
        <v>3.2.3.RX</v>
      </c>
      <c r="BO219" t="str">
        <f>IF(AND(BK219&lt;&gt;"",LEFT(BK219,1)&lt;&gt;"#"),IF(LEFT(BK219,1)="-",REPLACE(BK219,1,1,tech!$H$2),BK219),"")</f>
        <v/>
      </c>
      <c r="BP219" t="s">
        <v>495</v>
      </c>
      <c r="BQ219" s="492"/>
      <c r="BR219" t="str">
        <f t="shared" si="239"/>
        <v>Review of events and logs is periodically performed</v>
      </c>
      <c r="BS219" t="str">
        <f t="shared" si="249"/>
        <v>References</v>
      </c>
      <c r="BT219" t="str">
        <f t="shared" si="273"/>
        <v>3.3.6.RX</v>
      </c>
      <c r="BU219" t="str">
        <f>IF(AND(BQ219&lt;&gt;"",LEFT(BQ219,1)&lt;&gt;"#"),IF(LEFT(BQ219,1)="-",REPLACE(BQ219,1,1,tech!$H$2),BQ219),"")</f>
        <v/>
      </c>
      <c r="BV219" t="s">
        <v>495</v>
      </c>
      <c r="BW219" s="492"/>
      <c r="BX219" t="str">
        <f t="shared" si="240"/>
        <v>Incidents and exceptions handling</v>
      </c>
      <c r="BY219" t="str">
        <f t="shared" si="250"/>
        <v>References</v>
      </c>
      <c r="BZ219" t="str">
        <f t="shared" si="274"/>
        <v>3.4.3.RX</v>
      </c>
      <c r="CA219" t="str">
        <f>IF(AND(BW219&lt;&gt;"",LEFT(BW219,1)&lt;&gt;"#"),IF(LEFT(BW219,1)="-",REPLACE(BW219,1,1,tech!$H$2),BW219),"")</f>
        <v/>
      </c>
      <c r="CB219" t="s">
        <v>495</v>
      </c>
      <c r="CC219" s="492"/>
      <c r="CD219" t="str">
        <f t="shared" si="241"/>
        <v>Resources are periodically reviewed</v>
      </c>
      <c r="CE219" t="str">
        <f t="shared" si="251"/>
        <v>References</v>
      </c>
      <c r="CF219" t="str">
        <f t="shared" si="275"/>
        <v>4.1.4.RX</v>
      </c>
      <c r="CG219" t="str">
        <f>IF(AND(CC219&lt;&gt;"",LEFT(CC219,1)&lt;&gt;"#"),IF(LEFT(CC219,1)="-",REPLACE(CC219,1,1,tech!$H$2),CC219),"")</f>
        <v/>
      </c>
      <c r="CH219" t="s">
        <v>495</v>
      </c>
      <c r="CI219" s="492"/>
      <c r="CJ219" t="str">
        <f t="shared" si="242"/>
        <v>Periodically review knowledge</v>
      </c>
      <c r="CK219" t="str">
        <f t="shared" si="252"/>
        <v>References</v>
      </c>
      <c r="CL219" t="str">
        <f t="shared" si="276"/>
        <v>4.2.5.RX</v>
      </c>
      <c r="CM219" t="str">
        <f>IF(AND(CI219&lt;&gt;"",LEFT(CI219,1)&lt;&gt;"#"),IF(LEFT(CI219,1)="-",REPLACE(CI219,1,1,tech!$H$2),CI219),"")</f>
        <v/>
      </c>
      <c r="CN219" t="s">
        <v>495</v>
      </c>
      <c r="CO219" s="492"/>
      <c r="CP219" t="str">
        <f t="shared" si="243"/>
        <v>Timely communication of important information</v>
      </c>
      <c r="CQ219" t="str">
        <f t="shared" si="253"/>
        <v>References</v>
      </c>
      <c r="CR219" t="str">
        <f t="shared" si="277"/>
        <v>4.3.4.RX</v>
      </c>
      <c r="CS219" t="str">
        <f>IF(AND(CO219&lt;&gt;"",LEFT(CO219,1)&lt;&gt;"#"),IF(LEFT(CO219,1)="-",REPLACE(CO219,1,1,tech!$H$2),CO219),"")</f>
        <v/>
      </c>
      <c r="CT219" t="s">
        <v>495</v>
      </c>
    </row>
    <row r="220" spans="15:98" x14ac:dyDescent="0.25">
      <c r="O220" s="492"/>
      <c r="P220" t="str">
        <f t="shared" si="254"/>
        <v>Policies are periodically reviewed and updated</v>
      </c>
      <c r="Q220" t="str">
        <f t="shared" si="255"/>
        <v>References</v>
      </c>
      <c r="R220" t="str">
        <f t="shared" si="256"/>
        <v>1.2.5.RX</v>
      </c>
      <c r="S220" t="str">
        <f>IF(AND(O220&lt;&gt;"",LEFT(O220,1)&lt;&gt;"#"),IF(LEFT(O220,1)="-",REPLACE(O220,1,1,tech!$H$2),O220),"")</f>
        <v/>
      </c>
      <c r="T220" t="s">
        <v>495</v>
      </c>
      <c r="U220" s="492"/>
      <c r="V220" t="str">
        <f t="shared" si="257"/>
        <v>List of relevant laws, regulations, and standards, exist and is maintained</v>
      </c>
      <c r="W220" t="str">
        <f t="shared" si="258"/>
        <v>References</v>
      </c>
      <c r="X220" t="str">
        <f t="shared" si="259"/>
        <v>1.3.4.RX</v>
      </c>
      <c r="Y220" t="str">
        <f>IF(AND(U220&lt;&gt;"",LEFT(U220,1)&lt;&gt;"#"),IF(LEFT(U220,1)="-",REPLACE(U220,1,1,tech!$H$2),U220),"")</f>
        <v/>
      </c>
      <c r="Z220" t="s">
        <v>495</v>
      </c>
      <c r="AA220" s="492"/>
      <c r="AB220" t="str">
        <f t="shared" si="260"/>
        <v>Processes and procedures are reviewed and updated</v>
      </c>
      <c r="AC220" t="str">
        <f t="shared" si="261"/>
        <v>References</v>
      </c>
      <c r="AD220" t="str">
        <f t="shared" si="262"/>
        <v>1.4.5.RX</v>
      </c>
      <c r="AE220" t="str">
        <f>IF(AND(AA220&lt;&gt;"",LEFT(AA220,1)&lt;&gt;"#"),IF(LEFT(AA220,1)="-",REPLACE(AA220,1,1,tech!$H$2),AA220),"")</f>
        <v/>
      </c>
      <c r="AF220" t="s">
        <v>495</v>
      </c>
      <c r="AG220" s="492"/>
      <c r="AH220" t="str">
        <f t="shared" si="263"/>
        <v>Key management is periodically reviewed and updated</v>
      </c>
      <c r="AI220" t="str">
        <f t="shared" si="264"/>
        <v>References</v>
      </c>
      <c r="AJ220" t="str">
        <f t="shared" si="265"/>
        <v>2.1.6.RX</v>
      </c>
      <c r="AK220" t="str">
        <f>IF(AND(AG220&lt;&gt;"",LEFT(AG220,1)&lt;&gt;"#"),IF(LEFT(AG220,1)="-",REPLACE(AG220,1,1,tech!$H$2),AG220),"")</f>
        <v/>
      </c>
      <c r="AL220" t="s">
        <v>495</v>
      </c>
      <c r="AM220" s="492"/>
      <c r="AN220" t="str">
        <f t="shared" si="266"/>
        <v>Organizational PKI governance</v>
      </c>
      <c r="AO220" t="str">
        <f t="shared" si="267"/>
        <v>References</v>
      </c>
      <c r="AP220" t="str">
        <f t="shared" si="268"/>
        <v>2.2.7.RX</v>
      </c>
      <c r="AQ220" t="str">
        <f>IF(AND(AM220&lt;&gt;"",LEFT(AM220,1)&lt;&gt;"#"),IF(LEFT(AM220,1)="-",REPLACE(AM220,1,1,tech!$H$2),AM220),"")</f>
        <v/>
      </c>
      <c r="AR220" t="s">
        <v>495</v>
      </c>
      <c r="AS220" s="492"/>
      <c r="AT220" t="str">
        <f t="shared" si="235"/>
        <v>Infrastructure activities are periodically reviewed</v>
      </c>
      <c r="AU220" t="str">
        <f t="shared" si="245"/>
        <v>References</v>
      </c>
      <c r="AV220" t="str">
        <f t="shared" si="269"/>
        <v>2.3.5.RX</v>
      </c>
      <c r="AW220" t="str">
        <f>IF(AND(AS220&lt;&gt;"",LEFT(AS220,1)&lt;&gt;"#"),IF(LEFT(AS220,1)="-",REPLACE(AS220,1,1,tech!$H$2),AS220),"")</f>
        <v/>
      </c>
      <c r="AX220" t="s">
        <v>495</v>
      </c>
      <c r="AY220" s="492"/>
      <c r="AZ220" t="str">
        <f t="shared" si="236"/>
        <v>Change management and agility is periodically reviewed</v>
      </c>
      <c r="BA220" t="str">
        <f t="shared" si="246"/>
        <v>References</v>
      </c>
      <c r="BB220" t="str">
        <f t="shared" si="270"/>
        <v>2.4.5.RX</v>
      </c>
      <c r="BC220" t="str">
        <f>IF(AND(AY220&lt;&gt;"",LEFT(AY220,1)&lt;&gt;"#"),IF(LEFT(AY220,1)="-",REPLACE(AY220,1,1,tech!$H$2),AY220),"")</f>
        <v/>
      </c>
      <c r="BD220" t="s">
        <v>495</v>
      </c>
      <c r="BE220" s="492"/>
      <c r="BF220" t="str">
        <f t="shared" si="237"/>
        <v>Continual review and improvement</v>
      </c>
      <c r="BG220" t="str">
        <f t="shared" si="247"/>
        <v>References</v>
      </c>
      <c r="BH220" t="str">
        <f t="shared" si="271"/>
        <v>3.1.6.RX</v>
      </c>
      <c r="BI220" t="str">
        <f>IF(AND(BE220&lt;&gt;"",LEFT(BE220,1)&lt;&gt;"#"),IF(LEFT(BE220,1)="-",REPLACE(BE220,1,1,tech!$H$2),BE220),"")</f>
        <v/>
      </c>
      <c r="BJ220" t="s">
        <v>495</v>
      </c>
      <c r="BK220" s="492"/>
      <c r="BL220" t="str">
        <f t="shared" si="238"/>
        <v>Adoption and application of open standards</v>
      </c>
      <c r="BM220" t="str">
        <f t="shared" si="248"/>
        <v>References</v>
      </c>
      <c r="BN220" t="str">
        <f t="shared" si="272"/>
        <v>3.2.3.RX</v>
      </c>
      <c r="BO220" t="str">
        <f>IF(AND(BK220&lt;&gt;"",LEFT(BK220,1)&lt;&gt;"#"),IF(LEFT(BK220,1)="-",REPLACE(BK220,1,1,tech!$H$2),BK220),"")</f>
        <v/>
      </c>
      <c r="BP220" t="s">
        <v>495</v>
      </c>
      <c r="BQ220" s="492"/>
      <c r="BR220" t="str">
        <f t="shared" si="239"/>
        <v>Review of events and logs is periodically performed</v>
      </c>
      <c r="BS220" t="str">
        <f t="shared" si="249"/>
        <v>References</v>
      </c>
      <c r="BT220" t="str">
        <f t="shared" si="273"/>
        <v>3.3.6.RX</v>
      </c>
      <c r="BU220" t="str">
        <f>IF(AND(BQ220&lt;&gt;"",LEFT(BQ220,1)&lt;&gt;"#"),IF(LEFT(BQ220,1)="-",REPLACE(BQ220,1,1,tech!$H$2),BQ220),"")</f>
        <v/>
      </c>
      <c r="BV220" t="s">
        <v>495</v>
      </c>
      <c r="BW220" s="492"/>
      <c r="BX220" t="str">
        <f t="shared" si="240"/>
        <v>Incidents and exceptions handling</v>
      </c>
      <c r="BY220" t="str">
        <f t="shared" si="250"/>
        <v>References</v>
      </c>
      <c r="BZ220" t="str">
        <f t="shared" si="274"/>
        <v>3.4.3.RX</v>
      </c>
      <c r="CA220" t="str">
        <f>IF(AND(BW220&lt;&gt;"",LEFT(BW220,1)&lt;&gt;"#"),IF(LEFT(BW220,1)="-",REPLACE(BW220,1,1,tech!$H$2),BW220),"")</f>
        <v/>
      </c>
      <c r="CB220" t="s">
        <v>495</v>
      </c>
      <c r="CC220" s="492"/>
      <c r="CD220" t="str">
        <f t="shared" si="241"/>
        <v>Resources are periodically reviewed</v>
      </c>
      <c r="CE220" t="str">
        <f t="shared" si="251"/>
        <v>References</v>
      </c>
      <c r="CF220" t="str">
        <f t="shared" si="275"/>
        <v>4.1.4.RX</v>
      </c>
      <c r="CG220" t="str">
        <f>IF(AND(CC220&lt;&gt;"",LEFT(CC220,1)&lt;&gt;"#"),IF(LEFT(CC220,1)="-",REPLACE(CC220,1,1,tech!$H$2),CC220),"")</f>
        <v/>
      </c>
      <c r="CH220" t="s">
        <v>495</v>
      </c>
      <c r="CI220" s="492"/>
      <c r="CJ220" t="str">
        <f t="shared" si="242"/>
        <v>Periodically review knowledge</v>
      </c>
      <c r="CK220" t="str">
        <f t="shared" si="252"/>
        <v>References</v>
      </c>
      <c r="CL220" t="str">
        <f t="shared" si="276"/>
        <v>4.2.5.RX</v>
      </c>
      <c r="CM220" t="str">
        <f>IF(AND(CI220&lt;&gt;"",LEFT(CI220,1)&lt;&gt;"#"),IF(LEFT(CI220,1)="-",REPLACE(CI220,1,1,tech!$H$2),CI220),"")</f>
        <v/>
      </c>
      <c r="CN220" t="s">
        <v>495</v>
      </c>
      <c r="CO220" s="492"/>
      <c r="CP220" t="str">
        <f t="shared" si="243"/>
        <v>Timely communication of important information</v>
      </c>
      <c r="CQ220" t="str">
        <f t="shared" si="253"/>
        <v>References</v>
      </c>
      <c r="CR220" t="str">
        <f t="shared" si="277"/>
        <v>4.3.4.RX</v>
      </c>
      <c r="CS220" t="str">
        <f>IF(AND(CO220&lt;&gt;"",LEFT(CO220,1)&lt;&gt;"#"),IF(LEFT(CO220,1)="-",REPLACE(CO220,1,1,tech!$H$2),CO220),"")</f>
        <v/>
      </c>
      <c r="CT220" t="s">
        <v>495</v>
      </c>
    </row>
    <row r="221" spans="15:98" x14ac:dyDescent="0.25">
      <c r="O221" s="492"/>
      <c r="P221" t="str">
        <f t="shared" si="254"/>
        <v>Policies are periodically reviewed and updated</v>
      </c>
      <c r="Q221" t="str">
        <f t="shared" si="255"/>
        <v>References</v>
      </c>
      <c r="R221" t="str">
        <f t="shared" si="256"/>
        <v>1.2.5.RX</v>
      </c>
      <c r="S221" t="str">
        <f>IF(AND(O221&lt;&gt;"",LEFT(O221,1)&lt;&gt;"#"),IF(LEFT(O221,1)="-",REPLACE(O221,1,1,tech!$H$2),O221),"")</f>
        <v/>
      </c>
      <c r="T221" t="s">
        <v>495</v>
      </c>
      <c r="U221" s="492"/>
      <c r="V221" t="str">
        <f t="shared" si="257"/>
        <v>List of relevant laws, regulations, and standards, exist and is maintained</v>
      </c>
      <c r="W221" t="str">
        <f t="shared" si="258"/>
        <v>References</v>
      </c>
      <c r="X221" t="str">
        <f t="shared" si="259"/>
        <v>1.3.4.RX</v>
      </c>
      <c r="Y221" t="str">
        <f>IF(AND(U221&lt;&gt;"",LEFT(U221,1)&lt;&gt;"#"),IF(LEFT(U221,1)="-",REPLACE(U221,1,1,tech!$H$2),U221),"")</f>
        <v/>
      </c>
      <c r="Z221" t="s">
        <v>495</v>
      </c>
      <c r="AA221" s="492"/>
      <c r="AB221" t="str">
        <f t="shared" si="260"/>
        <v>Processes and procedures are reviewed and updated</v>
      </c>
      <c r="AC221" t="str">
        <f t="shared" si="261"/>
        <v>References</v>
      </c>
      <c r="AD221" t="str">
        <f t="shared" si="262"/>
        <v>1.4.5.RX</v>
      </c>
      <c r="AE221" t="str">
        <f>IF(AND(AA221&lt;&gt;"",LEFT(AA221,1)&lt;&gt;"#"),IF(LEFT(AA221,1)="-",REPLACE(AA221,1,1,tech!$H$2),AA221),"")</f>
        <v/>
      </c>
      <c r="AF221" t="s">
        <v>495</v>
      </c>
      <c r="AG221" s="492"/>
      <c r="AH221" t="str">
        <f t="shared" si="263"/>
        <v>Key management is periodically reviewed and updated</v>
      </c>
      <c r="AI221" t="str">
        <f t="shared" si="264"/>
        <v>References</v>
      </c>
      <c r="AJ221" t="str">
        <f t="shared" si="265"/>
        <v>2.1.6.RX</v>
      </c>
      <c r="AK221" t="str">
        <f>IF(AND(AG221&lt;&gt;"",LEFT(AG221,1)&lt;&gt;"#"),IF(LEFT(AG221,1)="-",REPLACE(AG221,1,1,tech!$H$2),AG221),"")</f>
        <v/>
      </c>
      <c r="AL221" t="s">
        <v>495</v>
      </c>
      <c r="AM221" s="492"/>
      <c r="AN221" t="str">
        <f t="shared" si="266"/>
        <v>Organizational PKI governance</v>
      </c>
      <c r="AO221" t="str">
        <f t="shared" si="267"/>
        <v>References</v>
      </c>
      <c r="AP221" t="str">
        <f t="shared" si="268"/>
        <v>2.2.7.RX</v>
      </c>
      <c r="AQ221" t="str">
        <f>IF(AND(AM221&lt;&gt;"",LEFT(AM221,1)&lt;&gt;"#"),IF(LEFT(AM221,1)="-",REPLACE(AM221,1,1,tech!$H$2),AM221),"")</f>
        <v/>
      </c>
      <c r="AR221" t="s">
        <v>495</v>
      </c>
      <c r="AS221" s="492"/>
      <c r="AT221" t="str">
        <f t="shared" si="235"/>
        <v>Infrastructure activities are periodically reviewed</v>
      </c>
      <c r="AU221" t="str">
        <f t="shared" si="245"/>
        <v>References</v>
      </c>
      <c r="AV221" t="str">
        <f t="shared" si="269"/>
        <v>2.3.5.RX</v>
      </c>
      <c r="AW221" t="str">
        <f>IF(AND(AS221&lt;&gt;"",LEFT(AS221,1)&lt;&gt;"#"),IF(LEFT(AS221,1)="-",REPLACE(AS221,1,1,tech!$H$2),AS221),"")</f>
        <v/>
      </c>
      <c r="AX221" t="s">
        <v>495</v>
      </c>
      <c r="AY221" s="492"/>
      <c r="AZ221" t="str">
        <f t="shared" si="236"/>
        <v>Change management and agility is periodically reviewed</v>
      </c>
      <c r="BA221" t="str">
        <f t="shared" si="246"/>
        <v>References</v>
      </c>
      <c r="BB221" t="str">
        <f t="shared" si="270"/>
        <v>2.4.5.RX</v>
      </c>
      <c r="BC221" t="str">
        <f>IF(AND(AY221&lt;&gt;"",LEFT(AY221,1)&lt;&gt;"#"),IF(LEFT(AY221,1)="-",REPLACE(AY221,1,1,tech!$H$2),AY221),"")</f>
        <v/>
      </c>
      <c r="BD221" t="s">
        <v>495</v>
      </c>
      <c r="BE221" s="492"/>
      <c r="BF221" t="str">
        <f t="shared" si="237"/>
        <v>Continual review and improvement</v>
      </c>
      <c r="BG221" t="str">
        <f t="shared" si="247"/>
        <v>References</v>
      </c>
      <c r="BH221" t="str">
        <f t="shared" si="271"/>
        <v>3.1.6.RX</v>
      </c>
      <c r="BI221" t="str">
        <f>IF(AND(BE221&lt;&gt;"",LEFT(BE221,1)&lt;&gt;"#"),IF(LEFT(BE221,1)="-",REPLACE(BE221,1,1,tech!$H$2),BE221),"")</f>
        <v/>
      </c>
      <c r="BJ221" t="s">
        <v>495</v>
      </c>
      <c r="BK221" s="492"/>
      <c r="BL221" t="str">
        <f t="shared" si="238"/>
        <v>Adoption and application of open standards</v>
      </c>
      <c r="BM221" t="str">
        <f t="shared" si="248"/>
        <v>References</v>
      </c>
      <c r="BN221" t="str">
        <f t="shared" si="272"/>
        <v>3.2.3.RX</v>
      </c>
      <c r="BO221" t="str">
        <f>IF(AND(BK221&lt;&gt;"",LEFT(BK221,1)&lt;&gt;"#"),IF(LEFT(BK221,1)="-",REPLACE(BK221,1,1,tech!$H$2),BK221),"")</f>
        <v/>
      </c>
      <c r="BP221" t="s">
        <v>495</v>
      </c>
      <c r="BQ221" s="492"/>
      <c r="BR221" t="str">
        <f t="shared" si="239"/>
        <v>Review of events and logs is periodically performed</v>
      </c>
      <c r="BS221" t="str">
        <f t="shared" si="249"/>
        <v>References</v>
      </c>
      <c r="BT221" t="str">
        <f t="shared" si="273"/>
        <v>3.3.6.RX</v>
      </c>
      <c r="BU221" t="str">
        <f>IF(AND(BQ221&lt;&gt;"",LEFT(BQ221,1)&lt;&gt;"#"),IF(LEFT(BQ221,1)="-",REPLACE(BQ221,1,1,tech!$H$2),BQ221),"")</f>
        <v/>
      </c>
      <c r="BV221" t="s">
        <v>495</v>
      </c>
      <c r="BW221" s="492"/>
      <c r="BX221" t="str">
        <f t="shared" si="240"/>
        <v>Incidents and exceptions handling</v>
      </c>
      <c r="BY221" t="str">
        <f t="shared" si="250"/>
        <v>References</v>
      </c>
      <c r="BZ221" t="str">
        <f t="shared" si="274"/>
        <v>3.4.3.RX</v>
      </c>
      <c r="CA221" t="str">
        <f>IF(AND(BW221&lt;&gt;"",LEFT(BW221,1)&lt;&gt;"#"),IF(LEFT(BW221,1)="-",REPLACE(BW221,1,1,tech!$H$2),BW221),"")</f>
        <v/>
      </c>
      <c r="CB221" t="s">
        <v>495</v>
      </c>
      <c r="CC221" s="492"/>
      <c r="CD221" t="str">
        <f t="shared" si="241"/>
        <v>Resources are periodically reviewed</v>
      </c>
      <c r="CE221" t="str">
        <f t="shared" si="251"/>
        <v>References</v>
      </c>
      <c r="CF221" t="str">
        <f t="shared" si="275"/>
        <v>4.1.4.RX</v>
      </c>
      <c r="CG221" t="str">
        <f>IF(AND(CC221&lt;&gt;"",LEFT(CC221,1)&lt;&gt;"#"),IF(LEFT(CC221,1)="-",REPLACE(CC221,1,1,tech!$H$2),CC221),"")</f>
        <v/>
      </c>
      <c r="CH221" t="s">
        <v>495</v>
      </c>
      <c r="CI221" s="492"/>
      <c r="CJ221" t="str">
        <f t="shared" si="242"/>
        <v>Periodically review knowledge</v>
      </c>
      <c r="CK221" t="str">
        <f t="shared" si="252"/>
        <v>References</v>
      </c>
      <c r="CL221" t="str">
        <f t="shared" si="276"/>
        <v>4.2.5.RX</v>
      </c>
      <c r="CM221" t="str">
        <f>IF(AND(CI221&lt;&gt;"",LEFT(CI221,1)&lt;&gt;"#"),IF(LEFT(CI221,1)="-",REPLACE(CI221,1,1,tech!$H$2),CI221),"")</f>
        <v/>
      </c>
      <c r="CN221" t="s">
        <v>495</v>
      </c>
      <c r="CO221" s="492"/>
      <c r="CP221" t="str">
        <f t="shared" si="243"/>
        <v>Timely communication of important information</v>
      </c>
      <c r="CQ221" t="str">
        <f t="shared" si="253"/>
        <v>References</v>
      </c>
      <c r="CR221" t="str">
        <f t="shared" si="277"/>
        <v>4.3.4.RX</v>
      </c>
      <c r="CS221" t="str">
        <f>IF(AND(CO221&lt;&gt;"",LEFT(CO221,1)&lt;&gt;"#"),IF(LEFT(CO221,1)="-",REPLACE(CO221,1,1,tech!$H$2),CO221),"")</f>
        <v/>
      </c>
      <c r="CT221" t="s">
        <v>495</v>
      </c>
    </row>
    <row r="222" spans="15:98" x14ac:dyDescent="0.25">
      <c r="O222" s="492"/>
      <c r="P222" t="str">
        <f t="shared" si="254"/>
        <v>Policies are periodically reviewed and updated</v>
      </c>
      <c r="Q222" t="str">
        <f t="shared" si="255"/>
        <v>References</v>
      </c>
      <c r="R222" t="str">
        <f t="shared" si="256"/>
        <v>1.2.5.RX</v>
      </c>
      <c r="S222" t="str">
        <f>IF(AND(O222&lt;&gt;"",LEFT(O222,1)&lt;&gt;"#"),IF(LEFT(O222,1)="-",REPLACE(O222,1,1,tech!$H$2),O222),"")</f>
        <v/>
      </c>
      <c r="T222" t="s">
        <v>495</v>
      </c>
      <c r="U222" s="492"/>
      <c r="V222" t="str">
        <f t="shared" si="257"/>
        <v>List of relevant laws, regulations, and standards, exist and is maintained</v>
      </c>
      <c r="W222" t="str">
        <f t="shared" si="258"/>
        <v>References</v>
      </c>
      <c r="X222" t="str">
        <f t="shared" si="259"/>
        <v>1.3.4.RX</v>
      </c>
      <c r="Y222" t="str">
        <f>IF(AND(U222&lt;&gt;"",LEFT(U222,1)&lt;&gt;"#"),IF(LEFT(U222,1)="-",REPLACE(U222,1,1,tech!$H$2),U222),"")</f>
        <v/>
      </c>
      <c r="Z222" t="s">
        <v>495</v>
      </c>
      <c r="AA222" s="492"/>
      <c r="AB222" t="str">
        <f t="shared" si="260"/>
        <v>Processes and procedures are reviewed and updated</v>
      </c>
      <c r="AC222" t="str">
        <f t="shared" si="261"/>
        <v>References</v>
      </c>
      <c r="AD222" t="str">
        <f t="shared" si="262"/>
        <v>1.4.5.RX</v>
      </c>
      <c r="AE222" t="str">
        <f>IF(AND(AA222&lt;&gt;"",LEFT(AA222,1)&lt;&gt;"#"),IF(LEFT(AA222,1)="-",REPLACE(AA222,1,1,tech!$H$2),AA222),"")</f>
        <v/>
      </c>
      <c r="AF222" t="s">
        <v>495</v>
      </c>
      <c r="AG222" s="492"/>
      <c r="AH222" t="str">
        <f t="shared" si="263"/>
        <v>Key management is periodically reviewed and updated</v>
      </c>
      <c r="AI222" t="str">
        <f t="shared" si="264"/>
        <v>References</v>
      </c>
      <c r="AJ222" t="str">
        <f t="shared" si="265"/>
        <v>2.1.6.RX</v>
      </c>
      <c r="AK222" t="str">
        <f>IF(AND(AG222&lt;&gt;"",LEFT(AG222,1)&lt;&gt;"#"),IF(LEFT(AG222,1)="-",REPLACE(AG222,1,1,tech!$H$2),AG222),"")</f>
        <v/>
      </c>
      <c r="AL222" t="s">
        <v>495</v>
      </c>
      <c r="AM222" s="492"/>
      <c r="AN222" t="str">
        <f t="shared" si="266"/>
        <v>Organizational PKI governance</v>
      </c>
      <c r="AO222" t="str">
        <f t="shared" si="267"/>
        <v>References</v>
      </c>
      <c r="AP222" t="str">
        <f t="shared" si="268"/>
        <v>2.2.7.RX</v>
      </c>
      <c r="AQ222" t="str">
        <f>IF(AND(AM222&lt;&gt;"",LEFT(AM222,1)&lt;&gt;"#"),IF(LEFT(AM222,1)="-",REPLACE(AM222,1,1,tech!$H$2),AM222),"")</f>
        <v/>
      </c>
      <c r="AR222" t="s">
        <v>495</v>
      </c>
      <c r="AS222" s="492"/>
      <c r="AT222" t="str">
        <f t="shared" si="235"/>
        <v>Infrastructure activities are periodically reviewed</v>
      </c>
      <c r="AU222" t="str">
        <f t="shared" si="245"/>
        <v>References</v>
      </c>
      <c r="AV222" t="str">
        <f t="shared" si="269"/>
        <v>2.3.5.RX</v>
      </c>
      <c r="AW222" t="str">
        <f>IF(AND(AS222&lt;&gt;"",LEFT(AS222,1)&lt;&gt;"#"),IF(LEFT(AS222,1)="-",REPLACE(AS222,1,1,tech!$H$2),AS222),"")</f>
        <v/>
      </c>
      <c r="AX222" t="s">
        <v>495</v>
      </c>
      <c r="AY222" s="492"/>
      <c r="AZ222" t="str">
        <f t="shared" si="236"/>
        <v>Change management and agility is periodically reviewed</v>
      </c>
      <c r="BA222" t="str">
        <f t="shared" si="246"/>
        <v>References</v>
      </c>
      <c r="BB222" t="str">
        <f t="shared" si="270"/>
        <v>2.4.5.RX</v>
      </c>
      <c r="BC222" t="str">
        <f>IF(AND(AY222&lt;&gt;"",LEFT(AY222,1)&lt;&gt;"#"),IF(LEFT(AY222,1)="-",REPLACE(AY222,1,1,tech!$H$2),AY222),"")</f>
        <v/>
      </c>
      <c r="BD222" t="s">
        <v>495</v>
      </c>
      <c r="BE222" s="492"/>
      <c r="BF222" t="str">
        <f t="shared" si="237"/>
        <v>Continual review and improvement</v>
      </c>
      <c r="BG222" t="str">
        <f t="shared" si="247"/>
        <v>References</v>
      </c>
      <c r="BH222" t="str">
        <f t="shared" si="271"/>
        <v>3.1.6.RX</v>
      </c>
      <c r="BI222" t="str">
        <f>IF(AND(BE222&lt;&gt;"",LEFT(BE222,1)&lt;&gt;"#"),IF(LEFT(BE222,1)="-",REPLACE(BE222,1,1,tech!$H$2),BE222),"")</f>
        <v/>
      </c>
      <c r="BJ222" t="s">
        <v>495</v>
      </c>
      <c r="BK222" s="492"/>
      <c r="BL222" t="str">
        <f t="shared" si="238"/>
        <v>Adoption and application of open standards</v>
      </c>
      <c r="BM222" t="str">
        <f t="shared" si="248"/>
        <v>References</v>
      </c>
      <c r="BN222" t="str">
        <f t="shared" si="272"/>
        <v>3.2.3.RX</v>
      </c>
      <c r="BO222" t="str">
        <f>IF(AND(BK222&lt;&gt;"",LEFT(BK222,1)&lt;&gt;"#"),IF(LEFT(BK222,1)="-",REPLACE(BK222,1,1,tech!$H$2),BK222),"")</f>
        <v/>
      </c>
      <c r="BP222" t="s">
        <v>495</v>
      </c>
      <c r="BQ222" s="492"/>
      <c r="BR222" t="str">
        <f t="shared" si="239"/>
        <v>Review of events and logs is periodically performed</v>
      </c>
      <c r="BS222" t="str">
        <f t="shared" si="249"/>
        <v>References</v>
      </c>
      <c r="BT222" t="str">
        <f t="shared" si="273"/>
        <v>3.3.6.RX</v>
      </c>
      <c r="BU222" t="str">
        <f>IF(AND(BQ222&lt;&gt;"",LEFT(BQ222,1)&lt;&gt;"#"),IF(LEFT(BQ222,1)="-",REPLACE(BQ222,1,1,tech!$H$2),BQ222),"")</f>
        <v/>
      </c>
      <c r="BV222" t="s">
        <v>495</v>
      </c>
      <c r="BW222" s="492"/>
      <c r="BX222" t="str">
        <f t="shared" si="240"/>
        <v>Incidents and exceptions handling</v>
      </c>
      <c r="BY222" t="str">
        <f t="shared" si="250"/>
        <v>References</v>
      </c>
      <c r="BZ222" t="str">
        <f t="shared" si="274"/>
        <v>3.4.3.RX</v>
      </c>
      <c r="CA222" t="str">
        <f>IF(AND(BW222&lt;&gt;"",LEFT(BW222,1)&lt;&gt;"#"),IF(LEFT(BW222,1)="-",REPLACE(BW222,1,1,tech!$H$2),BW222),"")</f>
        <v/>
      </c>
      <c r="CB222" t="s">
        <v>495</v>
      </c>
      <c r="CC222" s="492"/>
      <c r="CD222" t="str">
        <f t="shared" si="241"/>
        <v>Resources are periodically reviewed</v>
      </c>
      <c r="CE222" t="str">
        <f t="shared" si="251"/>
        <v>References</v>
      </c>
      <c r="CF222" t="str">
        <f t="shared" si="275"/>
        <v>4.1.4.RX</v>
      </c>
      <c r="CG222" t="str">
        <f>IF(AND(CC222&lt;&gt;"",LEFT(CC222,1)&lt;&gt;"#"),IF(LEFT(CC222,1)="-",REPLACE(CC222,1,1,tech!$H$2),CC222),"")</f>
        <v/>
      </c>
      <c r="CH222" t="s">
        <v>495</v>
      </c>
      <c r="CI222" s="492"/>
      <c r="CJ222" t="str">
        <f t="shared" si="242"/>
        <v>Periodically review knowledge</v>
      </c>
      <c r="CK222" t="str">
        <f t="shared" si="252"/>
        <v>References</v>
      </c>
      <c r="CL222" t="str">
        <f t="shared" si="276"/>
        <v>4.2.5.RX</v>
      </c>
      <c r="CM222" t="str">
        <f>IF(AND(CI222&lt;&gt;"",LEFT(CI222,1)&lt;&gt;"#"),IF(LEFT(CI222,1)="-",REPLACE(CI222,1,1,tech!$H$2),CI222),"")</f>
        <v/>
      </c>
      <c r="CN222" t="s">
        <v>495</v>
      </c>
      <c r="CO222" s="492"/>
      <c r="CP222" t="str">
        <f t="shared" si="243"/>
        <v>Timely communication of important information</v>
      </c>
      <c r="CQ222" t="str">
        <f t="shared" si="253"/>
        <v>References</v>
      </c>
      <c r="CR222" t="str">
        <f t="shared" si="277"/>
        <v>4.3.4.RX</v>
      </c>
      <c r="CS222" t="str">
        <f>IF(AND(CO222&lt;&gt;"",LEFT(CO222,1)&lt;&gt;"#"),IF(LEFT(CO222,1)="-",REPLACE(CO222,1,1,tech!$H$2),CO222),"")</f>
        <v/>
      </c>
      <c r="CT222" t="s">
        <v>495</v>
      </c>
    </row>
    <row r="223" spans="15:98" x14ac:dyDescent="0.25">
      <c r="O223" s="492"/>
      <c r="P223" t="str">
        <f t="shared" si="254"/>
        <v>Policies are periodically reviewed and updated</v>
      </c>
      <c r="Q223" t="str">
        <f t="shared" si="255"/>
        <v>References</v>
      </c>
      <c r="R223" t="str">
        <f t="shared" si="256"/>
        <v>1.2.5.RX</v>
      </c>
      <c r="S223" t="str">
        <f>IF(AND(O223&lt;&gt;"",LEFT(O223,1)&lt;&gt;"#"),IF(LEFT(O223,1)="-",REPLACE(O223,1,1,tech!$H$2),O223),"")</f>
        <v/>
      </c>
      <c r="T223" t="s">
        <v>495</v>
      </c>
      <c r="U223" s="492"/>
      <c r="V223" t="str">
        <f t="shared" si="257"/>
        <v>List of relevant laws, regulations, and standards, exist and is maintained</v>
      </c>
      <c r="W223" t="str">
        <f t="shared" si="258"/>
        <v>References</v>
      </c>
      <c r="X223" t="str">
        <f t="shared" si="259"/>
        <v>1.3.4.RX</v>
      </c>
      <c r="Y223" t="str">
        <f>IF(AND(U223&lt;&gt;"",LEFT(U223,1)&lt;&gt;"#"),IF(LEFT(U223,1)="-",REPLACE(U223,1,1,tech!$H$2),U223),"")</f>
        <v/>
      </c>
      <c r="Z223" t="s">
        <v>495</v>
      </c>
      <c r="AA223" s="492"/>
      <c r="AB223" t="str">
        <f t="shared" si="260"/>
        <v>Processes and procedures are reviewed and updated</v>
      </c>
      <c r="AC223" t="str">
        <f t="shared" si="261"/>
        <v>References</v>
      </c>
      <c r="AD223" t="str">
        <f t="shared" si="262"/>
        <v>1.4.5.RX</v>
      </c>
      <c r="AE223" t="str">
        <f>IF(AND(AA223&lt;&gt;"",LEFT(AA223,1)&lt;&gt;"#"),IF(LEFT(AA223,1)="-",REPLACE(AA223,1,1,tech!$H$2),AA223),"")</f>
        <v/>
      </c>
      <c r="AF223" t="s">
        <v>495</v>
      </c>
      <c r="AG223" s="492"/>
      <c r="AH223" t="str">
        <f t="shared" si="263"/>
        <v>Key management is periodically reviewed and updated</v>
      </c>
      <c r="AI223" t="str">
        <f t="shared" si="264"/>
        <v>References</v>
      </c>
      <c r="AJ223" t="str">
        <f t="shared" si="265"/>
        <v>2.1.6.RX</v>
      </c>
      <c r="AK223" t="str">
        <f>IF(AND(AG223&lt;&gt;"",LEFT(AG223,1)&lt;&gt;"#"),IF(LEFT(AG223,1)="-",REPLACE(AG223,1,1,tech!$H$2),AG223),"")</f>
        <v/>
      </c>
      <c r="AL223" t="s">
        <v>495</v>
      </c>
      <c r="AM223" s="492"/>
      <c r="AN223" t="str">
        <f t="shared" si="266"/>
        <v>Organizational PKI governance</v>
      </c>
      <c r="AO223" t="str">
        <f t="shared" si="267"/>
        <v>References</v>
      </c>
      <c r="AP223" t="str">
        <f t="shared" si="268"/>
        <v>2.2.7.RX</v>
      </c>
      <c r="AQ223" t="str">
        <f>IF(AND(AM223&lt;&gt;"",LEFT(AM223,1)&lt;&gt;"#"),IF(LEFT(AM223,1)="-",REPLACE(AM223,1,1,tech!$H$2),AM223),"")</f>
        <v/>
      </c>
      <c r="AR223" t="s">
        <v>495</v>
      </c>
      <c r="AS223" s="492"/>
      <c r="AT223" t="str">
        <f t="shared" si="235"/>
        <v>Infrastructure activities are periodically reviewed</v>
      </c>
      <c r="AU223" t="str">
        <f t="shared" si="245"/>
        <v>References</v>
      </c>
      <c r="AV223" t="str">
        <f t="shared" si="269"/>
        <v>2.3.5.RX</v>
      </c>
      <c r="AW223" t="str">
        <f>IF(AND(AS223&lt;&gt;"",LEFT(AS223,1)&lt;&gt;"#"),IF(LEFT(AS223,1)="-",REPLACE(AS223,1,1,tech!$H$2),AS223),"")</f>
        <v/>
      </c>
      <c r="AX223" t="s">
        <v>495</v>
      </c>
      <c r="AY223" s="492"/>
      <c r="AZ223" t="str">
        <f t="shared" si="236"/>
        <v>Change management and agility is periodically reviewed</v>
      </c>
      <c r="BA223" t="str">
        <f t="shared" si="246"/>
        <v>References</v>
      </c>
      <c r="BB223" t="str">
        <f t="shared" si="270"/>
        <v>2.4.5.RX</v>
      </c>
      <c r="BC223" t="str">
        <f>IF(AND(AY223&lt;&gt;"",LEFT(AY223,1)&lt;&gt;"#"),IF(LEFT(AY223,1)="-",REPLACE(AY223,1,1,tech!$H$2),AY223),"")</f>
        <v/>
      </c>
      <c r="BD223" t="s">
        <v>495</v>
      </c>
      <c r="BE223" s="492"/>
      <c r="BF223" t="str">
        <f t="shared" si="237"/>
        <v>Continual review and improvement</v>
      </c>
      <c r="BG223" t="str">
        <f t="shared" si="247"/>
        <v>References</v>
      </c>
      <c r="BH223" t="str">
        <f t="shared" si="271"/>
        <v>3.1.6.RX</v>
      </c>
      <c r="BI223" t="str">
        <f>IF(AND(BE223&lt;&gt;"",LEFT(BE223,1)&lt;&gt;"#"),IF(LEFT(BE223,1)="-",REPLACE(BE223,1,1,tech!$H$2),BE223),"")</f>
        <v/>
      </c>
      <c r="BJ223" t="s">
        <v>495</v>
      </c>
      <c r="BK223" s="492"/>
      <c r="BL223" t="str">
        <f t="shared" si="238"/>
        <v>Adoption and application of open standards</v>
      </c>
      <c r="BM223" t="str">
        <f t="shared" si="248"/>
        <v>References</v>
      </c>
      <c r="BN223" t="str">
        <f t="shared" si="272"/>
        <v>3.2.3.RX</v>
      </c>
      <c r="BO223" t="str">
        <f>IF(AND(BK223&lt;&gt;"",LEFT(BK223,1)&lt;&gt;"#"),IF(LEFT(BK223,1)="-",REPLACE(BK223,1,1,tech!$H$2),BK223),"")</f>
        <v/>
      </c>
      <c r="BP223" t="s">
        <v>495</v>
      </c>
      <c r="BQ223" s="492"/>
      <c r="BR223" t="str">
        <f t="shared" si="239"/>
        <v>Review of events and logs is periodically performed</v>
      </c>
      <c r="BS223" t="str">
        <f t="shared" si="249"/>
        <v>References</v>
      </c>
      <c r="BT223" t="str">
        <f t="shared" si="273"/>
        <v>3.3.6.RX</v>
      </c>
      <c r="BU223" t="str">
        <f>IF(AND(BQ223&lt;&gt;"",LEFT(BQ223,1)&lt;&gt;"#"),IF(LEFT(BQ223,1)="-",REPLACE(BQ223,1,1,tech!$H$2),BQ223),"")</f>
        <v/>
      </c>
      <c r="BV223" t="s">
        <v>495</v>
      </c>
      <c r="BW223" s="492"/>
      <c r="BX223" t="str">
        <f t="shared" si="240"/>
        <v>Incidents and exceptions handling</v>
      </c>
      <c r="BY223" t="str">
        <f t="shared" si="250"/>
        <v>References</v>
      </c>
      <c r="BZ223" t="str">
        <f t="shared" si="274"/>
        <v>3.4.3.RX</v>
      </c>
      <c r="CA223" t="str">
        <f>IF(AND(BW223&lt;&gt;"",LEFT(BW223,1)&lt;&gt;"#"),IF(LEFT(BW223,1)="-",REPLACE(BW223,1,1,tech!$H$2),BW223),"")</f>
        <v/>
      </c>
      <c r="CB223" t="s">
        <v>495</v>
      </c>
      <c r="CC223" s="492"/>
      <c r="CD223" t="str">
        <f t="shared" si="241"/>
        <v>Resources are periodically reviewed</v>
      </c>
      <c r="CE223" t="str">
        <f t="shared" si="251"/>
        <v>References</v>
      </c>
      <c r="CF223" t="str">
        <f t="shared" si="275"/>
        <v>4.1.4.RX</v>
      </c>
      <c r="CG223" t="str">
        <f>IF(AND(CC223&lt;&gt;"",LEFT(CC223,1)&lt;&gt;"#"),IF(LEFT(CC223,1)="-",REPLACE(CC223,1,1,tech!$H$2),CC223),"")</f>
        <v/>
      </c>
      <c r="CH223" t="s">
        <v>495</v>
      </c>
      <c r="CI223" s="492"/>
      <c r="CJ223" t="str">
        <f t="shared" si="242"/>
        <v>Periodically review knowledge</v>
      </c>
      <c r="CK223" t="str">
        <f t="shared" si="252"/>
        <v>References</v>
      </c>
      <c r="CL223" t="str">
        <f t="shared" si="276"/>
        <v>4.2.5.RX</v>
      </c>
      <c r="CM223" t="str">
        <f>IF(AND(CI223&lt;&gt;"",LEFT(CI223,1)&lt;&gt;"#"),IF(LEFT(CI223,1)="-",REPLACE(CI223,1,1,tech!$H$2),CI223),"")</f>
        <v/>
      </c>
      <c r="CN223" t="s">
        <v>495</v>
      </c>
      <c r="CO223" s="492"/>
      <c r="CP223" t="str">
        <f t="shared" si="243"/>
        <v>Timely communication of important information</v>
      </c>
      <c r="CQ223" t="str">
        <f t="shared" si="253"/>
        <v>References</v>
      </c>
      <c r="CR223" t="str">
        <f t="shared" si="277"/>
        <v>4.3.4.RX</v>
      </c>
      <c r="CS223" t="str">
        <f>IF(AND(CO223&lt;&gt;"",LEFT(CO223,1)&lt;&gt;"#"),IF(LEFT(CO223,1)="-",REPLACE(CO223,1,1,tech!$H$2),CO223),"")</f>
        <v/>
      </c>
      <c r="CT223" t="s">
        <v>495</v>
      </c>
    </row>
    <row r="224" spans="15:98" x14ac:dyDescent="0.25">
      <c r="O224" s="492"/>
      <c r="P224" t="str">
        <f t="shared" si="254"/>
        <v>Policies are periodically reviewed and updated</v>
      </c>
      <c r="Q224" t="str">
        <f t="shared" si="255"/>
        <v>References</v>
      </c>
      <c r="R224" t="str">
        <f t="shared" si="256"/>
        <v>1.2.5.RX</v>
      </c>
      <c r="S224" t="str">
        <f>IF(AND(O224&lt;&gt;"",LEFT(O224,1)&lt;&gt;"#"),IF(LEFT(O224,1)="-",REPLACE(O224,1,1,tech!$H$2),O224),"")</f>
        <v/>
      </c>
      <c r="T224" t="s">
        <v>495</v>
      </c>
      <c r="U224" s="492"/>
      <c r="V224" t="str">
        <f t="shared" si="257"/>
        <v>List of relevant laws, regulations, and standards, exist and is maintained</v>
      </c>
      <c r="W224" t="str">
        <f t="shared" si="258"/>
        <v>References</v>
      </c>
      <c r="X224" t="str">
        <f t="shared" si="259"/>
        <v>1.3.4.RX</v>
      </c>
      <c r="Y224" t="str">
        <f>IF(AND(U224&lt;&gt;"",LEFT(U224,1)&lt;&gt;"#"),IF(LEFT(U224,1)="-",REPLACE(U224,1,1,tech!$H$2),U224),"")</f>
        <v/>
      </c>
      <c r="Z224" t="s">
        <v>495</v>
      </c>
      <c r="AA224" s="492"/>
      <c r="AB224" t="str">
        <f t="shared" si="260"/>
        <v>Processes and procedures are reviewed and updated</v>
      </c>
      <c r="AC224" t="str">
        <f t="shared" si="261"/>
        <v>References</v>
      </c>
      <c r="AD224" t="str">
        <f t="shared" si="262"/>
        <v>1.4.5.RX</v>
      </c>
      <c r="AE224" t="str">
        <f>IF(AND(AA224&lt;&gt;"",LEFT(AA224,1)&lt;&gt;"#"),IF(LEFT(AA224,1)="-",REPLACE(AA224,1,1,tech!$H$2),AA224),"")</f>
        <v/>
      </c>
      <c r="AF224" t="s">
        <v>495</v>
      </c>
      <c r="AG224" s="492"/>
      <c r="AH224" t="str">
        <f t="shared" si="263"/>
        <v>Key management is periodically reviewed and updated</v>
      </c>
      <c r="AI224" t="str">
        <f t="shared" si="264"/>
        <v>References</v>
      </c>
      <c r="AJ224" t="str">
        <f t="shared" si="265"/>
        <v>2.1.6.RX</v>
      </c>
      <c r="AK224" t="str">
        <f>IF(AND(AG224&lt;&gt;"",LEFT(AG224,1)&lt;&gt;"#"),IF(LEFT(AG224,1)="-",REPLACE(AG224,1,1,tech!$H$2),AG224),"")</f>
        <v/>
      </c>
      <c r="AL224" t="s">
        <v>495</v>
      </c>
      <c r="AM224" s="492"/>
      <c r="AN224" t="str">
        <f t="shared" si="266"/>
        <v>Organizational PKI governance</v>
      </c>
      <c r="AO224" t="str">
        <f t="shared" si="267"/>
        <v>References</v>
      </c>
      <c r="AP224" t="str">
        <f t="shared" si="268"/>
        <v>2.2.7.RX</v>
      </c>
      <c r="AQ224" t="str">
        <f>IF(AND(AM224&lt;&gt;"",LEFT(AM224,1)&lt;&gt;"#"),IF(LEFT(AM224,1)="-",REPLACE(AM224,1,1,tech!$H$2),AM224),"")</f>
        <v/>
      </c>
      <c r="AR224" t="s">
        <v>495</v>
      </c>
      <c r="AS224" s="492"/>
      <c r="AT224" t="str">
        <f t="shared" si="235"/>
        <v>Infrastructure activities are periodically reviewed</v>
      </c>
      <c r="AU224" t="str">
        <f t="shared" si="245"/>
        <v>References</v>
      </c>
      <c r="AV224" t="str">
        <f t="shared" si="269"/>
        <v>2.3.5.RX</v>
      </c>
      <c r="AW224" t="str">
        <f>IF(AND(AS224&lt;&gt;"",LEFT(AS224,1)&lt;&gt;"#"),IF(LEFT(AS224,1)="-",REPLACE(AS224,1,1,tech!$H$2),AS224),"")</f>
        <v/>
      </c>
      <c r="AX224" t="s">
        <v>495</v>
      </c>
      <c r="AY224" s="492"/>
      <c r="AZ224" t="str">
        <f t="shared" si="236"/>
        <v>Change management and agility is periodically reviewed</v>
      </c>
      <c r="BA224" t="str">
        <f t="shared" si="246"/>
        <v>References</v>
      </c>
      <c r="BB224" t="str">
        <f t="shared" si="270"/>
        <v>2.4.5.RX</v>
      </c>
      <c r="BC224" t="str">
        <f>IF(AND(AY224&lt;&gt;"",LEFT(AY224,1)&lt;&gt;"#"),IF(LEFT(AY224,1)="-",REPLACE(AY224,1,1,tech!$H$2),AY224),"")</f>
        <v/>
      </c>
      <c r="BD224" t="s">
        <v>495</v>
      </c>
      <c r="BE224" s="492"/>
      <c r="BF224" t="str">
        <f t="shared" si="237"/>
        <v>Continual review and improvement</v>
      </c>
      <c r="BG224" t="str">
        <f t="shared" si="247"/>
        <v>References</v>
      </c>
      <c r="BH224" t="str">
        <f t="shared" si="271"/>
        <v>3.1.6.RX</v>
      </c>
      <c r="BI224" t="str">
        <f>IF(AND(BE224&lt;&gt;"",LEFT(BE224,1)&lt;&gt;"#"),IF(LEFT(BE224,1)="-",REPLACE(BE224,1,1,tech!$H$2),BE224),"")</f>
        <v/>
      </c>
      <c r="BJ224" t="s">
        <v>495</v>
      </c>
      <c r="BK224" s="492"/>
      <c r="BL224" t="str">
        <f t="shared" si="238"/>
        <v>Adoption and application of open standards</v>
      </c>
      <c r="BM224" t="str">
        <f t="shared" si="248"/>
        <v>References</v>
      </c>
      <c r="BN224" t="str">
        <f t="shared" si="272"/>
        <v>3.2.3.RX</v>
      </c>
      <c r="BO224" t="str">
        <f>IF(AND(BK224&lt;&gt;"",LEFT(BK224,1)&lt;&gt;"#"),IF(LEFT(BK224,1)="-",REPLACE(BK224,1,1,tech!$H$2),BK224),"")</f>
        <v/>
      </c>
      <c r="BP224" t="s">
        <v>495</v>
      </c>
      <c r="BQ224" s="492"/>
      <c r="BR224" t="str">
        <f t="shared" si="239"/>
        <v>Review of events and logs is periodically performed</v>
      </c>
      <c r="BS224" t="str">
        <f t="shared" si="249"/>
        <v>References</v>
      </c>
      <c r="BT224" t="str">
        <f t="shared" si="273"/>
        <v>3.3.6.RX</v>
      </c>
      <c r="BU224" t="str">
        <f>IF(AND(BQ224&lt;&gt;"",LEFT(BQ224,1)&lt;&gt;"#"),IF(LEFT(BQ224,1)="-",REPLACE(BQ224,1,1,tech!$H$2),BQ224),"")</f>
        <v/>
      </c>
      <c r="BV224" t="s">
        <v>495</v>
      </c>
      <c r="BW224" s="492"/>
      <c r="BX224" t="str">
        <f t="shared" si="240"/>
        <v>Incidents and exceptions handling</v>
      </c>
      <c r="BY224" t="str">
        <f t="shared" si="250"/>
        <v>References</v>
      </c>
      <c r="BZ224" t="str">
        <f t="shared" si="274"/>
        <v>3.4.3.RX</v>
      </c>
      <c r="CA224" t="str">
        <f>IF(AND(BW224&lt;&gt;"",LEFT(BW224,1)&lt;&gt;"#"),IF(LEFT(BW224,1)="-",REPLACE(BW224,1,1,tech!$H$2),BW224),"")</f>
        <v/>
      </c>
      <c r="CB224" t="s">
        <v>495</v>
      </c>
      <c r="CC224" s="492"/>
      <c r="CD224" t="str">
        <f t="shared" si="241"/>
        <v>Resources are periodically reviewed</v>
      </c>
      <c r="CE224" t="str">
        <f t="shared" si="251"/>
        <v>References</v>
      </c>
      <c r="CF224" t="str">
        <f t="shared" si="275"/>
        <v>4.1.4.RX</v>
      </c>
      <c r="CG224" t="str">
        <f>IF(AND(CC224&lt;&gt;"",LEFT(CC224,1)&lt;&gt;"#"),IF(LEFT(CC224,1)="-",REPLACE(CC224,1,1,tech!$H$2),CC224),"")</f>
        <v/>
      </c>
      <c r="CH224" t="s">
        <v>495</v>
      </c>
      <c r="CI224" s="492"/>
      <c r="CJ224" t="str">
        <f t="shared" si="242"/>
        <v>Periodically review knowledge</v>
      </c>
      <c r="CK224" t="str">
        <f t="shared" si="252"/>
        <v>References</v>
      </c>
      <c r="CL224" t="str">
        <f t="shared" si="276"/>
        <v>4.2.5.RX</v>
      </c>
      <c r="CM224" t="str">
        <f>IF(AND(CI224&lt;&gt;"",LEFT(CI224,1)&lt;&gt;"#"),IF(LEFT(CI224,1)="-",REPLACE(CI224,1,1,tech!$H$2),CI224),"")</f>
        <v/>
      </c>
      <c r="CN224" t="s">
        <v>495</v>
      </c>
      <c r="CO224" s="492"/>
      <c r="CP224" t="str">
        <f t="shared" si="243"/>
        <v>Timely communication of important information</v>
      </c>
      <c r="CQ224" t="str">
        <f t="shared" si="253"/>
        <v>References</v>
      </c>
      <c r="CR224" t="str">
        <f t="shared" si="277"/>
        <v>4.3.4.RX</v>
      </c>
      <c r="CS224" t="str">
        <f>IF(AND(CO224&lt;&gt;"",LEFT(CO224,1)&lt;&gt;"#"),IF(LEFT(CO224,1)="-",REPLACE(CO224,1,1,tech!$H$2),CO224),"")</f>
        <v/>
      </c>
      <c r="CT224" t="s">
        <v>495</v>
      </c>
    </row>
    <row r="225" spans="15:98" x14ac:dyDescent="0.25">
      <c r="O225" s="492"/>
      <c r="P225" t="str">
        <f t="shared" si="254"/>
        <v>Policies are periodically reviewed and updated</v>
      </c>
      <c r="Q225" t="str">
        <f t="shared" si="255"/>
        <v>References</v>
      </c>
      <c r="R225" t="str">
        <f t="shared" si="256"/>
        <v>1.2.5.RX</v>
      </c>
      <c r="S225" t="str">
        <f>IF(AND(O225&lt;&gt;"",LEFT(O225,1)&lt;&gt;"#"),IF(LEFT(O225,1)="-",REPLACE(O225,1,1,tech!$H$2),O225),"")</f>
        <v/>
      </c>
      <c r="T225" t="s">
        <v>495</v>
      </c>
      <c r="U225" s="492"/>
      <c r="V225" t="str">
        <f t="shared" si="257"/>
        <v>List of relevant laws, regulations, and standards, exist and is maintained</v>
      </c>
      <c r="W225" t="str">
        <f t="shared" si="258"/>
        <v>References</v>
      </c>
      <c r="X225" t="str">
        <f t="shared" si="259"/>
        <v>1.3.4.RX</v>
      </c>
      <c r="Y225" t="str">
        <f>IF(AND(U225&lt;&gt;"",LEFT(U225,1)&lt;&gt;"#"),IF(LEFT(U225,1)="-",REPLACE(U225,1,1,tech!$H$2),U225),"")</f>
        <v/>
      </c>
      <c r="Z225" t="s">
        <v>495</v>
      </c>
      <c r="AA225" s="492"/>
      <c r="AB225" t="str">
        <f t="shared" si="260"/>
        <v>Processes and procedures are reviewed and updated</v>
      </c>
      <c r="AC225" t="str">
        <f t="shared" si="261"/>
        <v>References</v>
      </c>
      <c r="AD225" t="str">
        <f t="shared" si="262"/>
        <v>1.4.5.RX</v>
      </c>
      <c r="AE225" t="str">
        <f>IF(AND(AA225&lt;&gt;"",LEFT(AA225,1)&lt;&gt;"#"),IF(LEFT(AA225,1)="-",REPLACE(AA225,1,1,tech!$H$2),AA225),"")</f>
        <v/>
      </c>
      <c r="AF225" t="s">
        <v>495</v>
      </c>
      <c r="AG225" s="492"/>
      <c r="AH225" t="str">
        <f t="shared" si="263"/>
        <v>Key management is periodically reviewed and updated</v>
      </c>
      <c r="AI225" t="str">
        <f t="shared" si="264"/>
        <v>References</v>
      </c>
      <c r="AJ225" t="str">
        <f t="shared" si="265"/>
        <v>2.1.6.RX</v>
      </c>
      <c r="AK225" t="str">
        <f>IF(AND(AG225&lt;&gt;"",LEFT(AG225,1)&lt;&gt;"#"),IF(LEFT(AG225,1)="-",REPLACE(AG225,1,1,tech!$H$2),AG225),"")</f>
        <v/>
      </c>
      <c r="AL225" t="s">
        <v>495</v>
      </c>
      <c r="AM225" s="492"/>
      <c r="AN225" t="str">
        <f t="shared" si="266"/>
        <v>Organizational PKI governance</v>
      </c>
      <c r="AO225" t="str">
        <f t="shared" si="267"/>
        <v>References</v>
      </c>
      <c r="AP225" t="str">
        <f t="shared" si="268"/>
        <v>2.2.7.RX</v>
      </c>
      <c r="AQ225" t="str">
        <f>IF(AND(AM225&lt;&gt;"",LEFT(AM225,1)&lt;&gt;"#"),IF(LEFT(AM225,1)="-",REPLACE(AM225,1,1,tech!$H$2),AM225),"")</f>
        <v/>
      </c>
      <c r="AR225" t="s">
        <v>495</v>
      </c>
      <c r="AS225" s="492"/>
      <c r="AT225" t="str">
        <f t="shared" si="235"/>
        <v>Infrastructure activities are periodically reviewed</v>
      </c>
      <c r="AU225" t="str">
        <f t="shared" si="245"/>
        <v>References</v>
      </c>
      <c r="AV225" t="str">
        <f t="shared" si="269"/>
        <v>2.3.5.RX</v>
      </c>
      <c r="AW225" t="str">
        <f>IF(AND(AS225&lt;&gt;"",LEFT(AS225,1)&lt;&gt;"#"),IF(LEFT(AS225,1)="-",REPLACE(AS225,1,1,tech!$H$2),AS225),"")</f>
        <v/>
      </c>
      <c r="AX225" t="s">
        <v>495</v>
      </c>
      <c r="AY225" s="492"/>
      <c r="AZ225" t="str">
        <f t="shared" si="236"/>
        <v>Change management and agility is periodically reviewed</v>
      </c>
      <c r="BA225" t="str">
        <f t="shared" si="246"/>
        <v>References</v>
      </c>
      <c r="BB225" t="str">
        <f t="shared" si="270"/>
        <v>2.4.5.RX</v>
      </c>
      <c r="BC225" t="str">
        <f>IF(AND(AY225&lt;&gt;"",LEFT(AY225,1)&lt;&gt;"#"),IF(LEFT(AY225,1)="-",REPLACE(AY225,1,1,tech!$H$2),AY225),"")</f>
        <v/>
      </c>
      <c r="BD225" t="s">
        <v>495</v>
      </c>
      <c r="BE225" s="492"/>
      <c r="BF225" t="str">
        <f t="shared" si="237"/>
        <v>Continual review and improvement</v>
      </c>
      <c r="BG225" t="str">
        <f t="shared" si="247"/>
        <v>References</v>
      </c>
      <c r="BH225" t="str">
        <f t="shared" si="271"/>
        <v>3.1.6.RX</v>
      </c>
      <c r="BI225" t="str">
        <f>IF(AND(BE225&lt;&gt;"",LEFT(BE225,1)&lt;&gt;"#"),IF(LEFT(BE225,1)="-",REPLACE(BE225,1,1,tech!$H$2),BE225),"")</f>
        <v/>
      </c>
      <c r="BJ225" t="s">
        <v>495</v>
      </c>
      <c r="BK225" s="492"/>
      <c r="BL225" t="str">
        <f t="shared" si="238"/>
        <v>Adoption and application of open standards</v>
      </c>
      <c r="BM225" t="str">
        <f t="shared" si="248"/>
        <v>References</v>
      </c>
      <c r="BN225" t="str">
        <f t="shared" si="272"/>
        <v>3.2.3.RX</v>
      </c>
      <c r="BO225" t="str">
        <f>IF(AND(BK225&lt;&gt;"",LEFT(BK225,1)&lt;&gt;"#"),IF(LEFT(BK225,1)="-",REPLACE(BK225,1,1,tech!$H$2),BK225),"")</f>
        <v/>
      </c>
      <c r="BP225" t="s">
        <v>495</v>
      </c>
      <c r="BQ225" s="492"/>
      <c r="BR225" t="str">
        <f t="shared" si="239"/>
        <v>Review of events and logs is periodically performed</v>
      </c>
      <c r="BS225" t="str">
        <f t="shared" si="249"/>
        <v>References</v>
      </c>
      <c r="BT225" t="str">
        <f t="shared" si="273"/>
        <v>3.3.6.RX</v>
      </c>
      <c r="BU225" t="str">
        <f>IF(AND(BQ225&lt;&gt;"",LEFT(BQ225,1)&lt;&gt;"#"),IF(LEFT(BQ225,1)="-",REPLACE(BQ225,1,1,tech!$H$2),BQ225),"")</f>
        <v/>
      </c>
      <c r="BV225" t="s">
        <v>495</v>
      </c>
      <c r="BW225" s="492"/>
      <c r="BX225" t="str">
        <f t="shared" si="240"/>
        <v>Incidents and exceptions handling</v>
      </c>
      <c r="BY225" t="str">
        <f t="shared" si="250"/>
        <v>References</v>
      </c>
      <c r="BZ225" t="str">
        <f t="shared" si="274"/>
        <v>3.4.3.RX</v>
      </c>
      <c r="CA225" t="str">
        <f>IF(AND(BW225&lt;&gt;"",LEFT(BW225,1)&lt;&gt;"#"),IF(LEFT(BW225,1)="-",REPLACE(BW225,1,1,tech!$H$2),BW225),"")</f>
        <v/>
      </c>
      <c r="CB225" t="s">
        <v>495</v>
      </c>
      <c r="CC225" s="492"/>
      <c r="CD225" t="str">
        <f t="shared" si="241"/>
        <v>Resources are periodically reviewed</v>
      </c>
      <c r="CE225" t="str">
        <f t="shared" si="251"/>
        <v>References</v>
      </c>
      <c r="CF225" t="str">
        <f t="shared" si="275"/>
        <v>4.1.4.RX</v>
      </c>
      <c r="CG225" t="str">
        <f>IF(AND(CC225&lt;&gt;"",LEFT(CC225,1)&lt;&gt;"#"),IF(LEFT(CC225,1)="-",REPLACE(CC225,1,1,tech!$H$2),CC225),"")</f>
        <v/>
      </c>
      <c r="CH225" t="s">
        <v>495</v>
      </c>
      <c r="CI225" s="492"/>
      <c r="CJ225" t="str">
        <f t="shared" si="242"/>
        <v>Periodically review knowledge</v>
      </c>
      <c r="CK225" t="str">
        <f t="shared" si="252"/>
        <v>References</v>
      </c>
      <c r="CL225" t="str">
        <f t="shared" si="276"/>
        <v>4.2.5.RX</v>
      </c>
      <c r="CM225" t="str">
        <f>IF(AND(CI225&lt;&gt;"",LEFT(CI225,1)&lt;&gt;"#"),IF(LEFT(CI225,1)="-",REPLACE(CI225,1,1,tech!$H$2),CI225),"")</f>
        <v/>
      </c>
      <c r="CN225" t="s">
        <v>495</v>
      </c>
      <c r="CO225" s="492"/>
      <c r="CP225" t="str">
        <f t="shared" si="243"/>
        <v>Timely communication of important information</v>
      </c>
      <c r="CQ225" t="str">
        <f t="shared" si="253"/>
        <v>References</v>
      </c>
      <c r="CR225" t="str">
        <f t="shared" si="277"/>
        <v>4.3.4.RX</v>
      </c>
      <c r="CS225" t="str">
        <f>IF(AND(CO225&lt;&gt;"",LEFT(CO225,1)&lt;&gt;"#"),IF(LEFT(CO225,1)="-",REPLACE(CO225,1,1,tech!$H$2),CO225),"")</f>
        <v/>
      </c>
      <c r="CT225" t="s">
        <v>495</v>
      </c>
    </row>
    <row r="226" spans="15:98" x14ac:dyDescent="0.25">
      <c r="O226" s="492"/>
      <c r="P226" t="str">
        <f t="shared" si="254"/>
        <v>Policies are periodically reviewed and updated</v>
      </c>
      <c r="Q226" t="str">
        <f t="shared" si="255"/>
        <v>References</v>
      </c>
      <c r="R226" t="str">
        <f t="shared" si="256"/>
        <v>1.2.5.RX</v>
      </c>
      <c r="S226" t="str">
        <f>IF(AND(O226&lt;&gt;"",LEFT(O226,1)&lt;&gt;"#"),IF(LEFT(O226,1)="-",REPLACE(O226,1,1,tech!$H$2),O226),"")</f>
        <v/>
      </c>
      <c r="T226" t="s">
        <v>495</v>
      </c>
      <c r="U226" s="492"/>
      <c r="V226" t="str">
        <f t="shared" si="257"/>
        <v>List of relevant laws, regulations, and standards, exist and is maintained</v>
      </c>
      <c r="W226" t="str">
        <f t="shared" si="258"/>
        <v>References</v>
      </c>
      <c r="X226" t="str">
        <f t="shared" si="259"/>
        <v>1.3.4.RX</v>
      </c>
      <c r="Y226" t="str">
        <f>IF(AND(U226&lt;&gt;"",LEFT(U226,1)&lt;&gt;"#"),IF(LEFT(U226,1)="-",REPLACE(U226,1,1,tech!$H$2),U226),"")</f>
        <v/>
      </c>
      <c r="Z226" t="s">
        <v>495</v>
      </c>
      <c r="AA226" s="492"/>
      <c r="AB226" t="str">
        <f t="shared" si="260"/>
        <v>Processes and procedures are reviewed and updated</v>
      </c>
      <c r="AC226" t="str">
        <f t="shared" si="261"/>
        <v>References</v>
      </c>
      <c r="AD226" t="str">
        <f t="shared" si="262"/>
        <v>1.4.5.RX</v>
      </c>
      <c r="AE226" t="str">
        <f>IF(AND(AA226&lt;&gt;"",LEFT(AA226,1)&lt;&gt;"#"),IF(LEFT(AA226,1)="-",REPLACE(AA226,1,1,tech!$H$2),AA226),"")</f>
        <v/>
      </c>
      <c r="AF226" t="s">
        <v>495</v>
      </c>
      <c r="AG226" s="492"/>
      <c r="AH226" t="str">
        <f t="shared" si="263"/>
        <v>Key management is periodically reviewed and updated</v>
      </c>
      <c r="AI226" t="str">
        <f t="shared" si="264"/>
        <v>References</v>
      </c>
      <c r="AJ226" t="str">
        <f t="shared" si="265"/>
        <v>2.1.6.RX</v>
      </c>
      <c r="AK226" t="str">
        <f>IF(AND(AG226&lt;&gt;"",LEFT(AG226,1)&lt;&gt;"#"),IF(LEFT(AG226,1)="-",REPLACE(AG226,1,1,tech!$H$2),AG226),"")</f>
        <v/>
      </c>
      <c r="AL226" t="s">
        <v>495</v>
      </c>
      <c r="AM226" s="492"/>
      <c r="AN226" t="str">
        <f t="shared" si="266"/>
        <v>Organizational PKI governance</v>
      </c>
      <c r="AO226" t="str">
        <f t="shared" si="267"/>
        <v>References</v>
      </c>
      <c r="AP226" t="str">
        <f t="shared" si="268"/>
        <v>2.2.7.RX</v>
      </c>
      <c r="AQ226" t="str">
        <f>IF(AND(AM226&lt;&gt;"",LEFT(AM226,1)&lt;&gt;"#"),IF(LEFT(AM226,1)="-",REPLACE(AM226,1,1,tech!$H$2),AM226),"")</f>
        <v/>
      </c>
      <c r="AR226" t="s">
        <v>495</v>
      </c>
      <c r="AS226" s="492"/>
      <c r="AT226" t="str">
        <f t="shared" si="235"/>
        <v>Infrastructure activities are periodically reviewed</v>
      </c>
      <c r="AU226" t="str">
        <f t="shared" si="245"/>
        <v>References</v>
      </c>
      <c r="AV226" t="str">
        <f t="shared" si="269"/>
        <v>2.3.5.RX</v>
      </c>
      <c r="AW226" t="str">
        <f>IF(AND(AS226&lt;&gt;"",LEFT(AS226,1)&lt;&gt;"#"),IF(LEFT(AS226,1)="-",REPLACE(AS226,1,1,tech!$H$2),AS226),"")</f>
        <v/>
      </c>
      <c r="AX226" t="s">
        <v>495</v>
      </c>
      <c r="AY226" s="492"/>
      <c r="AZ226" t="str">
        <f t="shared" si="236"/>
        <v>Change management and agility is periodically reviewed</v>
      </c>
      <c r="BA226" t="str">
        <f t="shared" si="246"/>
        <v>References</v>
      </c>
      <c r="BB226" t="str">
        <f t="shared" si="270"/>
        <v>2.4.5.RX</v>
      </c>
      <c r="BC226" t="str">
        <f>IF(AND(AY226&lt;&gt;"",LEFT(AY226,1)&lt;&gt;"#"),IF(LEFT(AY226,1)="-",REPLACE(AY226,1,1,tech!$H$2),AY226),"")</f>
        <v/>
      </c>
      <c r="BD226" t="s">
        <v>495</v>
      </c>
      <c r="BE226" s="492"/>
      <c r="BF226" t="str">
        <f t="shared" si="237"/>
        <v>Continual review and improvement</v>
      </c>
      <c r="BG226" t="str">
        <f t="shared" si="247"/>
        <v>References</v>
      </c>
      <c r="BH226" t="str">
        <f t="shared" si="271"/>
        <v>3.1.6.RX</v>
      </c>
      <c r="BI226" t="str">
        <f>IF(AND(BE226&lt;&gt;"",LEFT(BE226,1)&lt;&gt;"#"),IF(LEFT(BE226,1)="-",REPLACE(BE226,1,1,tech!$H$2),BE226),"")</f>
        <v/>
      </c>
      <c r="BJ226" t="s">
        <v>495</v>
      </c>
      <c r="BK226" s="492"/>
      <c r="BL226" t="str">
        <f t="shared" si="238"/>
        <v>Adoption and application of open standards</v>
      </c>
      <c r="BM226" t="str">
        <f t="shared" si="248"/>
        <v>References</v>
      </c>
      <c r="BN226" t="str">
        <f t="shared" si="272"/>
        <v>3.2.3.RX</v>
      </c>
      <c r="BO226" t="str">
        <f>IF(AND(BK226&lt;&gt;"",LEFT(BK226,1)&lt;&gt;"#"),IF(LEFT(BK226,1)="-",REPLACE(BK226,1,1,tech!$H$2),BK226),"")</f>
        <v/>
      </c>
      <c r="BP226" t="s">
        <v>495</v>
      </c>
      <c r="BQ226" s="492"/>
      <c r="BR226" t="str">
        <f t="shared" si="239"/>
        <v>Review of events and logs is periodically performed</v>
      </c>
      <c r="BS226" t="str">
        <f t="shared" si="249"/>
        <v>References</v>
      </c>
      <c r="BT226" t="str">
        <f t="shared" si="273"/>
        <v>3.3.6.RX</v>
      </c>
      <c r="BU226" t="str">
        <f>IF(AND(BQ226&lt;&gt;"",LEFT(BQ226,1)&lt;&gt;"#"),IF(LEFT(BQ226,1)="-",REPLACE(BQ226,1,1,tech!$H$2),BQ226),"")</f>
        <v/>
      </c>
      <c r="BV226" t="s">
        <v>495</v>
      </c>
      <c r="BW226" s="492"/>
      <c r="BX226" t="str">
        <f t="shared" si="240"/>
        <v>Incidents and exceptions handling</v>
      </c>
      <c r="BY226" t="str">
        <f t="shared" si="250"/>
        <v>References</v>
      </c>
      <c r="BZ226" t="str">
        <f t="shared" si="274"/>
        <v>3.4.3.RX</v>
      </c>
      <c r="CA226" t="str">
        <f>IF(AND(BW226&lt;&gt;"",LEFT(BW226,1)&lt;&gt;"#"),IF(LEFT(BW226,1)="-",REPLACE(BW226,1,1,tech!$H$2),BW226),"")</f>
        <v/>
      </c>
      <c r="CB226" t="s">
        <v>495</v>
      </c>
      <c r="CC226" s="492"/>
      <c r="CD226" t="str">
        <f t="shared" si="241"/>
        <v>Resources are periodically reviewed</v>
      </c>
      <c r="CE226" t="str">
        <f t="shared" si="251"/>
        <v>References</v>
      </c>
      <c r="CF226" t="str">
        <f t="shared" si="275"/>
        <v>4.1.4.RX</v>
      </c>
      <c r="CG226" t="str">
        <f>IF(AND(CC226&lt;&gt;"",LEFT(CC226,1)&lt;&gt;"#"),IF(LEFT(CC226,1)="-",REPLACE(CC226,1,1,tech!$H$2),CC226),"")</f>
        <v/>
      </c>
      <c r="CH226" t="s">
        <v>495</v>
      </c>
      <c r="CI226" s="492"/>
      <c r="CJ226" t="str">
        <f t="shared" si="242"/>
        <v>Periodically review knowledge</v>
      </c>
      <c r="CK226" t="str">
        <f t="shared" si="252"/>
        <v>References</v>
      </c>
      <c r="CL226" t="str">
        <f t="shared" si="276"/>
        <v>4.2.5.RX</v>
      </c>
      <c r="CM226" t="str">
        <f>IF(AND(CI226&lt;&gt;"",LEFT(CI226,1)&lt;&gt;"#"),IF(LEFT(CI226,1)="-",REPLACE(CI226,1,1,tech!$H$2),CI226),"")</f>
        <v/>
      </c>
      <c r="CN226" t="s">
        <v>495</v>
      </c>
      <c r="CO226" s="492"/>
      <c r="CP226" t="str">
        <f t="shared" si="243"/>
        <v>Timely communication of important information</v>
      </c>
      <c r="CQ226" t="str">
        <f t="shared" si="253"/>
        <v>References</v>
      </c>
      <c r="CR226" t="str">
        <f t="shared" si="277"/>
        <v>4.3.4.RX</v>
      </c>
      <c r="CS226" t="str">
        <f>IF(AND(CO226&lt;&gt;"",LEFT(CO226,1)&lt;&gt;"#"),IF(LEFT(CO226,1)="-",REPLACE(CO226,1,1,tech!$H$2),CO226),"")</f>
        <v/>
      </c>
      <c r="CT226" t="s">
        <v>495</v>
      </c>
    </row>
    <row r="227" spans="15:98" x14ac:dyDescent="0.25">
      <c r="O227" s="492"/>
      <c r="P227" t="str">
        <f t="shared" si="254"/>
        <v>Policies are periodically reviewed and updated</v>
      </c>
      <c r="Q227" t="str">
        <f t="shared" si="255"/>
        <v>References</v>
      </c>
      <c r="R227" t="str">
        <f t="shared" si="256"/>
        <v>1.2.5.RX</v>
      </c>
      <c r="S227" t="str">
        <f>IF(AND(O227&lt;&gt;"",LEFT(O227,1)&lt;&gt;"#"),IF(LEFT(O227,1)="-",REPLACE(O227,1,1,tech!$H$2),O227),"")</f>
        <v/>
      </c>
      <c r="T227" t="s">
        <v>495</v>
      </c>
      <c r="U227" s="492"/>
      <c r="V227" t="str">
        <f t="shared" si="257"/>
        <v>List of relevant laws, regulations, and standards, exist and is maintained</v>
      </c>
      <c r="W227" t="str">
        <f t="shared" si="258"/>
        <v>References</v>
      </c>
      <c r="X227" t="str">
        <f t="shared" si="259"/>
        <v>1.3.4.RX</v>
      </c>
      <c r="Y227" t="str">
        <f>IF(AND(U227&lt;&gt;"",LEFT(U227,1)&lt;&gt;"#"),IF(LEFT(U227,1)="-",REPLACE(U227,1,1,tech!$H$2),U227),"")</f>
        <v/>
      </c>
      <c r="Z227" t="s">
        <v>495</v>
      </c>
      <c r="AA227" s="492"/>
      <c r="AB227" t="str">
        <f t="shared" si="260"/>
        <v>Processes and procedures are reviewed and updated</v>
      </c>
      <c r="AC227" t="str">
        <f t="shared" si="261"/>
        <v>References</v>
      </c>
      <c r="AD227" t="str">
        <f t="shared" si="262"/>
        <v>1.4.5.RX</v>
      </c>
      <c r="AE227" t="str">
        <f>IF(AND(AA227&lt;&gt;"",LEFT(AA227,1)&lt;&gt;"#"),IF(LEFT(AA227,1)="-",REPLACE(AA227,1,1,tech!$H$2),AA227),"")</f>
        <v/>
      </c>
      <c r="AF227" t="s">
        <v>495</v>
      </c>
      <c r="AG227" s="492"/>
      <c r="AH227" t="str">
        <f t="shared" si="263"/>
        <v>Key management is periodically reviewed and updated</v>
      </c>
      <c r="AI227" t="str">
        <f t="shared" si="264"/>
        <v>References</v>
      </c>
      <c r="AJ227" t="str">
        <f t="shared" si="265"/>
        <v>2.1.6.RX</v>
      </c>
      <c r="AK227" t="str">
        <f>IF(AND(AG227&lt;&gt;"",LEFT(AG227,1)&lt;&gt;"#"),IF(LEFT(AG227,1)="-",REPLACE(AG227,1,1,tech!$H$2),AG227),"")</f>
        <v/>
      </c>
      <c r="AL227" t="s">
        <v>495</v>
      </c>
      <c r="AM227" s="492"/>
      <c r="AN227" t="str">
        <f t="shared" si="266"/>
        <v>Organizational PKI governance</v>
      </c>
      <c r="AO227" t="str">
        <f t="shared" si="267"/>
        <v>References</v>
      </c>
      <c r="AP227" t="str">
        <f t="shared" si="268"/>
        <v>2.2.7.RX</v>
      </c>
      <c r="AQ227" t="str">
        <f>IF(AND(AM227&lt;&gt;"",LEFT(AM227,1)&lt;&gt;"#"),IF(LEFT(AM227,1)="-",REPLACE(AM227,1,1,tech!$H$2),AM227),"")</f>
        <v/>
      </c>
      <c r="AR227" t="s">
        <v>495</v>
      </c>
      <c r="AS227" s="492"/>
      <c r="AT227" t="str">
        <f t="shared" si="235"/>
        <v>Infrastructure activities are periodically reviewed</v>
      </c>
      <c r="AU227" t="str">
        <f t="shared" si="245"/>
        <v>References</v>
      </c>
      <c r="AV227" t="str">
        <f t="shared" si="269"/>
        <v>2.3.5.RX</v>
      </c>
      <c r="AW227" t="str">
        <f>IF(AND(AS227&lt;&gt;"",LEFT(AS227,1)&lt;&gt;"#"),IF(LEFT(AS227,1)="-",REPLACE(AS227,1,1,tech!$H$2),AS227),"")</f>
        <v/>
      </c>
      <c r="AX227" t="s">
        <v>495</v>
      </c>
      <c r="AY227" s="492"/>
      <c r="AZ227" t="str">
        <f t="shared" si="236"/>
        <v>Change management and agility is periodically reviewed</v>
      </c>
      <c r="BA227" t="str">
        <f t="shared" si="246"/>
        <v>References</v>
      </c>
      <c r="BB227" t="str">
        <f t="shared" si="270"/>
        <v>2.4.5.RX</v>
      </c>
      <c r="BC227" t="str">
        <f>IF(AND(AY227&lt;&gt;"",LEFT(AY227,1)&lt;&gt;"#"),IF(LEFT(AY227,1)="-",REPLACE(AY227,1,1,tech!$H$2),AY227),"")</f>
        <v/>
      </c>
      <c r="BD227" t="s">
        <v>495</v>
      </c>
      <c r="BE227" s="492"/>
      <c r="BF227" t="str">
        <f t="shared" si="237"/>
        <v>Continual review and improvement</v>
      </c>
      <c r="BG227" t="str">
        <f t="shared" si="247"/>
        <v>References</v>
      </c>
      <c r="BH227" t="str">
        <f t="shared" si="271"/>
        <v>3.1.6.RX</v>
      </c>
      <c r="BI227" t="str">
        <f>IF(AND(BE227&lt;&gt;"",LEFT(BE227,1)&lt;&gt;"#"),IF(LEFT(BE227,1)="-",REPLACE(BE227,1,1,tech!$H$2),BE227),"")</f>
        <v/>
      </c>
      <c r="BJ227" t="s">
        <v>495</v>
      </c>
      <c r="BK227" s="492"/>
      <c r="BL227" t="str">
        <f t="shared" si="238"/>
        <v>Adoption and application of open standards</v>
      </c>
      <c r="BM227" t="str">
        <f t="shared" si="248"/>
        <v>References</v>
      </c>
      <c r="BN227" t="str">
        <f t="shared" si="272"/>
        <v>3.2.3.RX</v>
      </c>
      <c r="BO227" t="str">
        <f>IF(AND(BK227&lt;&gt;"",LEFT(BK227,1)&lt;&gt;"#"),IF(LEFT(BK227,1)="-",REPLACE(BK227,1,1,tech!$H$2),BK227),"")</f>
        <v/>
      </c>
      <c r="BP227" t="s">
        <v>495</v>
      </c>
      <c r="BQ227" s="492"/>
      <c r="BR227" t="str">
        <f t="shared" si="239"/>
        <v>Review of events and logs is periodically performed</v>
      </c>
      <c r="BS227" t="str">
        <f t="shared" si="249"/>
        <v>References</v>
      </c>
      <c r="BT227" t="str">
        <f t="shared" si="273"/>
        <v>3.3.6.RX</v>
      </c>
      <c r="BU227" t="str">
        <f>IF(AND(BQ227&lt;&gt;"",LEFT(BQ227,1)&lt;&gt;"#"),IF(LEFT(BQ227,1)="-",REPLACE(BQ227,1,1,tech!$H$2),BQ227),"")</f>
        <v/>
      </c>
      <c r="BV227" t="s">
        <v>495</v>
      </c>
      <c r="BW227" s="492"/>
      <c r="BX227" t="str">
        <f t="shared" si="240"/>
        <v>Incidents and exceptions handling</v>
      </c>
      <c r="BY227" t="str">
        <f t="shared" si="250"/>
        <v>References</v>
      </c>
      <c r="BZ227" t="str">
        <f t="shared" si="274"/>
        <v>3.4.3.RX</v>
      </c>
      <c r="CA227" t="str">
        <f>IF(AND(BW227&lt;&gt;"",LEFT(BW227,1)&lt;&gt;"#"),IF(LEFT(BW227,1)="-",REPLACE(BW227,1,1,tech!$H$2),BW227),"")</f>
        <v/>
      </c>
      <c r="CB227" t="s">
        <v>495</v>
      </c>
      <c r="CC227" s="492"/>
      <c r="CD227" t="str">
        <f t="shared" si="241"/>
        <v>Resources are periodically reviewed</v>
      </c>
      <c r="CE227" t="str">
        <f t="shared" si="251"/>
        <v>References</v>
      </c>
      <c r="CF227" t="str">
        <f t="shared" si="275"/>
        <v>4.1.4.RX</v>
      </c>
      <c r="CG227" t="str">
        <f>IF(AND(CC227&lt;&gt;"",LEFT(CC227,1)&lt;&gt;"#"),IF(LEFT(CC227,1)="-",REPLACE(CC227,1,1,tech!$H$2),CC227),"")</f>
        <v/>
      </c>
      <c r="CH227" t="s">
        <v>495</v>
      </c>
      <c r="CI227" s="492"/>
      <c r="CJ227" t="str">
        <f t="shared" si="242"/>
        <v>Periodically review knowledge</v>
      </c>
      <c r="CK227" t="str">
        <f t="shared" si="252"/>
        <v>References</v>
      </c>
      <c r="CL227" t="str">
        <f t="shared" si="276"/>
        <v>4.2.5.RX</v>
      </c>
      <c r="CM227" t="str">
        <f>IF(AND(CI227&lt;&gt;"",LEFT(CI227,1)&lt;&gt;"#"),IF(LEFT(CI227,1)="-",REPLACE(CI227,1,1,tech!$H$2),CI227),"")</f>
        <v/>
      </c>
      <c r="CN227" t="s">
        <v>495</v>
      </c>
      <c r="CO227" s="492"/>
      <c r="CP227" t="str">
        <f t="shared" si="243"/>
        <v>Timely communication of important information</v>
      </c>
      <c r="CQ227" t="str">
        <f t="shared" si="253"/>
        <v>References</v>
      </c>
      <c r="CR227" t="str">
        <f t="shared" si="277"/>
        <v>4.3.4.RX</v>
      </c>
      <c r="CS227" t="str">
        <f>IF(AND(CO227&lt;&gt;"",LEFT(CO227,1)&lt;&gt;"#"),IF(LEFT(CO227,1)="-",REPLACE(CO227,1,1,tech!$H$2),CO227),"")</f>
        <v/>
      </c>
      <c r="CT227" t="s">
        <v>495</v>
      </c>
    </row>
    <row r="228" spans="15:98" x14ac:dyDescent="0.25">
      <c r="O228" s="492"/>
      <c r="P228" t="str">
        <f t="shared" si="254"/>
        <v>Policies are periodically reviewed and updated</v>
      </c>
      <c r="Q228" t="str">
        <f t="shared" si="255"/>
        <v>References</v>
      </c>
      <c r="R228" t="str">
        <f t="shared" si="256"/>
        <v>1.2.5.RX</v>
      </c>
      <c r="S228" t="str">
        <f>IF(AND(O228&lt;&gt;"",LEFT(O228,1)&lt;&gt;"#"),IF(LEFT(O228,1)="-",REPLACE(O228,1,1,tech!$H$2),O228),"")</f>
        <v/>
      </c>
      <c r="T228" t="s">
        <v>495</v>
      </c>
      <c r="U228" s="492"/>
      <c r="V228" t="str">
        <f t="shared" si="257"/>
        <v>List of relevant laws, regulations, and standards, exist and is maintained</v>
      </c>
      <c r="W228" t="str">
        <f t="shared" si="258"/>
        <v>References</v>
      </c>
      <c r="X228" t="str">
        <f t="shared" si="259"/>
        <v>1.3.4.RX</v>
      </c>
      <c r="Y228" t="str">
        <f>IF(AND(U228&lt;&gt;"",LEFT(U228,1)&lt;&gt;"#"),IF(LEFT(U228,1)="-",REPLACE(U228,1,1,tech!$H$2),U228),"")</f>
        <v/>
      </c>
      <c r="Z228" t="s">
        <v>495</v>
      </c>
      <c r="AA228" s="492"/>
      <c r="AB228" t="str">
        <f t="shared" si="260"/>
        <v>Processes and procedures are reviewed and updated</v>
      </c>
      <c r="AC228" t="str">
        <f t="shared" si="261"/>
        <v>References</v>
      </c>
      <c r="AD228" t="str">
        <f t="shared" si="262"/>
        <v>1.4.5.RX</v>
      </c>
      <c r="AE228" t="str">
        <f>IF(AND(AA228&lt;&gt;"",LEFT(AA228,1)&lt;&gt;"#"),IF(LEFT(AA228,1)="-",REPLACE(AA228,1,1,tech!$H$2),AA228),"")</f>
        <v/>
      </c>
      <c r="AF228" t="s">
        <v>495</v>
      </c>
      <c r="AG228" s="492"/>
      <c r="AH228" t="str">
        <f t="shared" si="263"/>
        <v>Key management is periodically reviewed and updated</v>
      </c>
      <c r="AI228" t="str">
        <f t="shared" si="264"/>
        <v>References</v>
      </c>
      <c r="AJ228" t="str">
        <f t="shared" si="265"/>
        <v>2.1.6.RX</v>
      </c>
      <c r="AK228" t="str">
        <f>IF(AND(AG228&lt;&gt;"",LEFT(AG228,1)&lt;&gt;"#"),IF(LEFT(AG228,1)="-",REPLACE(AG228,1,1,tech!$H$2),AG228),"")</f>
        <v/>
      </c>
      <c r="AL228" t="s">
        <v>495</v>
      </c>
      <c r="AM228" s="492"/>
      <c r="AN228" t="str">
        <f t="shared" si="266"/>
        <v>Organizational PKI governance</v>
      </c>
      <c r="AO228" t="str">
        <f t="shared" si="267"/>
        <v>References</v>
      </c>
      <c r="AP228" t="str">
        <f t="shared" si="268"/>
        <v>2.2.7.RX</v>
      </c>
      <c r="AQ228" t="str">
        <f>IF(AND(AM228&lt;&gt;"",LEFT(AM228,1)&lt;&gt;"#"),IF(LEFT(AM228,1)="-",REPLACE(AM228,1,1,tech!$H$2),AM228),"")</f>
        <v/>
      </c>
      <c r="AR228" t="s">
        <v>495</v>
      </c>
      <c r="AS228" s="492"/>
      <c r="AT228" t="str">
        <f t="shared" si="235"/>
        <v>Infrastructure activities are periodically reviewed</v>
      </c>
      <c r="AU228" t="str">
        <f t="shared" si="245"/>
        <v>References</v>
      </c>
      <c r="AV228" t="str">
        <f t="shared" si="269"/>
        <v>2.3.5.RX</v>
      </c>
      <c r="AW228" t="str">
        <f>IF(AND(AS228&lt;&gt;"",LEFT(AS228,1)&lt;&gt;"#"),IF(LEFT(AS228,1)="-",REPLACE(AS228,1,1,tech!$H$2),AS228),"")</f>
        <v/>
      </c>
      <c r="AX228" t="s">
        <v>495</v>
      </c>
      <c r="AY228" s="492"/>
      <c r="AZ228" t="str">
        <f t="shared" si="236"/>
        <v>Change management and agility is periodically reviewed</v>
      </c>
      <c r="BA228" t="str">
        <f t="shared" si="246"/>
        <v>References</v>
      </c>
      <c r="BB228" t="str">
        <f t="shared" si="270"/>
        <v>2.4.5.RX</v>
      </c>
      <c r="BC228" t="str">
        <f>IF(AND(AY228&lt;&gt;"",LEFT(AY228,1)&lt;&gt;"#"),IF(LEFT(AY228,1)="-",REPLACE(AY228,1,1,tech!$H$2),AY228),"")</f>
        <v/>
      </c>
      <c r="BD228" t="s">
        <v>495</v>
      </c>
      <c r="BE228" s="492"/>
      <c r="BF228" t="str">
        <f t="shared" si="237"/>
        <v>Continual review and improvement</v>
      </c>
      <c r="BG228" t="str">
        <f t="shared" si="247"/>
        <v>References</v>
      </c>
      <c r="BH228" t="str">
        <f t="shared" si="271"/>
        <v>3.1.6.RX</v>
      </c>
      <c r="BI228" t="str">
        <f>IF(AND(BE228&lt;&gt;"",LEFT(BE228,1)&lt;&gt;"#"),IF(LEFT(BE228,1)="-",REPLACE(BE228,1,1,tech!$H$2),BE228),"")</f>
        <v/>
      </c>
      <c r="BJ228" t="s">
        <v>495</v>
      </c>
      <c r="BK228" s="492"/>
      <c r="BL228" t="str">
        <f t="shared" si="238"/>
        <v>Adoption and application of open standards</v>
      </c>
      <c r="BM228" t="str">
        <f t="shared" si="248"/>
        <v>References</v>
      </c>
      <c r="BN228" t="str">
        <f t="shared" si="272"/>
        <v>3.2.3.RX</v>
      </c>
      <c r="BO228" t="str">
        <f>IF(AND(BK228&lt;&gt;"",LEFT(BK228,1)&lt;&gt;"#"),IF(LEFT(BK228,1)="-",REPLACE(BK228,1,1,tech!$H$2),BK228),"")</f>
        <v/>
      </c>
      <c r="BP228" t="s">
        <v>495</v>
      </c>
      <c r="BQ228" s="492"/>
      <c r="BR228" t="str">
        <f t="shared" si="239"/>
        <v>Review of events and logs is periodically performed</v>
      </c>
      <c r="BS228" t="str">
        <f t="shared" si="249"/>
        <v>References</v>
      </c>
      <c r="BT228" t="str">
        <f t="shared" si="273"/>
        <v>3.3.6.RX</v>
      </c>
      <c r="BU228" t="str">
        <f>IF(AND(BQ228&lt;&gt;"",LEFT(BQ228,1)&lt;&gt;"#"),IF(LEFT(BQ228,1)="-",REPLACE(BQ228,1,1,tech!$H$2),BQ228),"")</f>
        <v/>
      </c>
      <c r="BV228" t="s">
        <v>495</v>
      </c>
      <c r="BW228" s="492"/>
      <c r="BX228" t="str">
        <f t="shared" si="240"/>
        <v>Incidents and exceptions handling</v>
      </c>
      <c r="BY228" t="str">
        <f t="shared" si="250"/>
        <v>References</v>
      </c>
      <c r="BZ228" t="str">
        <f t="shared" si="274"/>
        <v>3.4.3.RX</v>
      </c>
      <c r="CA228" t="str">
        <f>IF(AND(BW228&lt;&gt;"",LEFT(BW228,1)&lt;&gt;"#"),IF(LEFT(BW228,1)="-",REPLACE(BW228,1,1,tech!$H$2),BW228),"")</f>
        <v/>
      </c>
      <c r="CB228" t="s">
        <v>495</v>
      </c>
      <c r="CC228" s="492"/>
      <c r="CD228" t="str">
        <f t="shared" si="241"/>
        <v>Resources are periodically reviewed</v>
      </c>
      <c r="CE228" t="str">
        <f t="shared" si="251"/>
        <v>References</v>
      </c>
      <c r="CF228" t="str">
        <f t="shared" si="275"/>
        <v>4.1.4.RX</v>
      </c>
      <c r="CG228" t="str">
        <f>IF(AND(CC228&lt;&gt;"",LEFT(CC228,1)&lt;&gt;"#"),IF(LEFT(CC228,1)="-",REPLACE(CC228,1,1,tech!$H$2),CC228),"")</f>
        <v/>
      </c>
      <c r="CH228" t="s">
        <v>495</v>
      </c>
      <c r="CI228" s="492"/>
      <c r="CJ228" t="str">
        <f t="shared" si="242"/>
        <v>Periodically review knowledge</v>
      </c>
      <c r="CK228" t="str">
        <f t="shared" si="252"/>
        <v>References</v>
      </c>
      <c r="CL228" t="str">
        <f t="shared" si="276"/>
        <v>4.2.5.RX</v>
      </c>
      <c r="CM228" t="str">
        <f>IF(AND(CI228&lt;&gt;"",LEFT(CI228,1)&lt;&gt;"#"),IF(LEFT(CI228,1)="-",REPLACE(CI228,1,1,tech!$H$2),CI228),"")</f>
        <v/>
      </c>
      <c r="CN228" t="s">
        <v>495</v>
      </c>
      <c r="CO228" s="492"/>
      <c r="CP228" t="str">
        <f t="shared" si="243"/>
        <v>Timely communication of important information</v>
      </c>
      <c r="CQ228" t="str">
        <f t="shared" si="253"/>
        <v>References</v>
      </c>
      <c r="CR228" t="str">
        <f t="shared" si="277"/>
        <v>4.3.4.RX</v>
      </c>
      <c r="CS228" t="str">
        <f>IF(AND(CO228&lt;&gt;"",LEFT(CO228,1)&lt;&gt;"#"),IF(LEFT(CO228,1)="-",REPLACE(CO228,1,1,tech!$H$2),CO228),"")</f>
        <v/>
      </c>
      <c r="CT228" t="s">
        <v>495</v>
      </c>
    </row>
    <row r="229" spans="15:98" x14ac:dyDescent="0.25">
      <c r="O229" s="492"/>
      <c r="P229" t="str">
        <f t="shared" si="254"/>
        <v>Policies are periodically reviewed and updated</v>
      </c>
      <c r="Q229" t="str">
        <f t="shared" si="255"/>
        <v>References</v>
      </c>
      <c r="R229" t="str">
        <f t="shared" si="256"/>
        <v>1.2.5.RX</v>
      </c>
      <c r="S229" t="str">
        <f>IF(AND(O229&lt;&gt;"",LEFT(O229,1)&lt;&gt;"#"),IF(LEFT(O229,1)="-",REPLACE(O229,1,1,tech!$H$2),O229),"")</f>
        <v/>
      </c>
      <c r="T229" t="s">
        <v>495</v>
      </c>
      <c r="U229" s="492"/>
      <c r="V229" t="str">
        <f t="shared" si="257"/>
        <v>List of relevant laws, regulations, and standards, exist and is maintained</v>
      </c>
      <c r="W229" t="str">
        <f t="shared" si="258"/>
        <v>References</v>
      </c>
      <c r="X229" t="str">
        <f t="shared" si="259"/>
        <v>1.3.4.RX</v>
      </c>
      <c r="Y229" t="str">
        <f>IF(AND(U229&lt;&gt;"",LEFT(U229,1)&lt;&gt;"#"),IF(LEFT(U229,1)="-",REPLACE(U229,1,1,tech!$H$2),U229),"")</f>
        <v/>
      </c>
      <c r="Z229" t="s">
        <v>495</v>
      </c>
      <c r="AA229" s="492"/>
      <c r="AB229" t="str">
        <f t="shared" si="260"/>
        <v>Processes and procedures are reviewed and updated</v>
      </c>
      <c r="AC229" t="str">
        <f t="shared" si="261"/>
        <v>References</v>
      </c>
      <c r="AD229" t="str">
        <f t="shared" si="262"/>
        <v>1.4.5.RX</v>
      </c>
      <c r="AE229" t="str">
        <f>IF(AND(AA229&lt;&gt;"",LEFT(AA229,1)&lt;&gt;"#"),IF(LEFT(AA229,1)="-",REPLACE(AA229,1,1,tech!$H$2),AA229),"")</f>
        <v/>
      </c>
      <c r="AF229" t="s">
        <v>495</v>
      </c>
      <c r="AG229" s="492"/>
      <c r="AH229" t="str">
        <f t="shared" si="263"/>
        <v>Key management is periodically reviewed and updated</v>
      </c>
      <c r="AI229" t="str">
        <f t="shared" si="264"/>
        <v>References</v>
      </c>
      <c r="AJ229" t="str">
        <f t="shared" si="265"/>
        <v>2.1.6.RX</v>
      </c>
      <c r="AK229" t="str">
        <f>IF(AND(AG229&lt;&gt;"",LEFT(AG229,1)&lt;&gt;"#"),IF(LEFT(AG229,1)="-",REPLACE(AG229,1,1,tech!$H$2),AG229),"")</f>
        <v/>
      </c>
      <c r="AL229" t="s">
        <v>495</v>
      </c>
      <c r="AM229" s="492"/>
      <c r="AN229" t="str">
        <f t="shared" si="266"/>
        <v>Organizational PKI governance</v>
      </c>
      <c r="AO229" t="str">
        <f t="shared" si="267"/>
        <v>References</v>
      </c>
      <c r="AP229" t="str">
        <f t="shared" si="268"/>
        <v>2.2.7.RX</v>
      </c>
      <c r="AQ229" t="str">
        <f>IF(AND(AM229&lt;&gt;"",LEFT(AM229,1)&lt;&gt;"#"),IF(LEFT(AM229,1)="-",REPLACE(AM229,1,1,tech!$H$2),AM229),"")</f>
        <v/>
      </c>
      <c r="AR229" t="s">
        <v>495</v>
      </c>
      <c r="AS229" s="492"/>
      <c r="AT229" t="str">
        <f t="shared" si="235"/>
        <v>Infrastructure activities are periodically reviewed</v>
      </c>
      <c r="AU229" t="str">
        <f t="shared" si="245"/>
        <v>References</v>
      </c>
      <c r="AV229" t="str">
        <f t="shared" si="269"/>
        <v>2.3.5.RX</v>
      </c>
      <c r="AW229" t="str">
        <f>IF(AND(AS229&lt;&gt;"",LEFT(AS229,1)&lt;&gt;"#"),IF(LEFT(AS229,1)="-",REPLACE(AS229,1,1,tech!$H$2),AS229),"")</f>
        <v/>
      </c>
      <c r="AX229" t="s">
        <v>495</v>
      </c>
      <c r="AY229" s="492"/>
      <c r="AZ229" t="str">
        <f t="shared" si="236"/>
        <v>Change management and agility is periodically reviewed</v>
      </c>
      <c r="BA229" t="str">
        <f t="shared" si="246"/>
        <v>References</v>
      </c>
      <c r="BB229" t="str">
        <f t="shared" si="270"/>
        <v>2.4.5.RX</v>
      </c>
      <c r="BC229" t="str">
        <f>IF(AND(AY229&lt;&gt;"",LEFT(AY229,1)&lt;&gt;"#"),IF(LEFT(AY229,1)="-",REPLACE(AY229,1,1,tech!$H$2),AY229),"")</f>
        <v/>
      </c>
      <c r="BD229" t="s">
        <v>495</v>
      </c>
      <c r="BE229" s="492"/>
      <c r="BF229" t="str">
        <f t="shared" si="237"/>
        <v>Continual review and improvement</v>
      </c>
      <c r="BG229" t="str">
        <f t="shared" si="247"/>
        <v>References</v>
      </c>
      <c r="BH229" t="str">
        <f t="shared" si="271"/>
        <v>3.1.6.RX</v>
      </c>
      <c r="BI229" t="str">
        <f>IF(AND(BE229&lt;&gt;"",LEFT(BE229,1)&lt;&gt;"#"),IF(LEFT(BE229,1)="-",REPLACE(BE229,1,1,tech!$H$2),BE229),"")</f>
        <v/>
      </c>
      <c r="BJ229" t="s">
        <v>495</v>
      </c>
      <c r="BK229" s="492"/>
      <c r="BL229" t="str">
        <f t="shared" si="238"/>
        <v>Adoption and application of open standards</v>
      </c>
      <c r="BM229" t="str">
        <f t="shared" si="248"/>
        <v>References</v>
      </c>
      <c r="BN229" t="str">
        <f t="shared" si="272"/>
        <v>3.2.3.RX</v>
      </c>
      <c r="BO229" t="str">
        <f>IF(AND(BK229&lt;&gt;"",LEFT(BK229,1)&lt;&gt;"#"),IF(LEFT(BK229,1)="-",REPLACE(BK229,1,1,tech!$H$2),BK229),"")</f>
        <v/>
      </c>
      <c r="BP229" t="s">
        <v>495</v>
      </c>
      <c r="BQ229" s="492"/>
      <c r="BR229" t="str">
        <f t="shared" si="239"/>
        <v>Review of events and logs is periodically performed</v>
      </c>
      <c r="BS229" t="str">
        <f t="shared" si="249"/>
        <v>References</v>
      </c>
      <c r="BT229" t="str">
        <f t="shared" si="273"/>
        <v>3.3.6.RX</v>
      </c>
      <c r="BU229" t="str">
        <f>IF(AND(BQ229&lt;&gt;"",LEFT(BQ229,1)&lt;&gt;"#"),IF(LEFT(BQ229,1)="-",REPLACE(BQ229,1,1,tech!$H$2),BQ229),"")</f>
        <v/>
      </c>
      <c r="BV229" t="s">
        <v>495</v>
      </c>
      <c r="BW229" s="492"/>
      <c r="BX229" t="str">
        <f t="shared" si="240"/>
        <v>Incidents and exceptions handling</v>
      </c>
      <c r="BY229" t="str">
        <f t="shared" si="250"/>
        <v>References</v>
      </c>
      <c r="BZ229" t="str">
        <f t="shared" si="274"/>
        <v>3.4.3.RX</v>
      </c>
      <c r="CA229" t="str">
        <f>IF(AND(BW229&lt;&gt;"",LEFT(BW229,1)&lt;&gt;"#"),IF(LEFT(BW229,1)="-",REPLACE(BW229,1,1,tech!$H$2),BW229),"")</f>
        <v/>
      </c>
      <c r="CB229" t="s">
        <v>495</v>
      </c>
      <c r="CC229" s="492"/>
      <c r="CD229" t="str">
        <f t="shared" si="241"/>
        <v>Resources are periodically reviewed</v>
      </c>
      <c r="CE229" t="str">
        <f t="shared" si="251"/>
        <v>References</v>
      </c>
      <c r="CF229" t="str">
        <f t="shared" si="275"/>
        <v>4.1.4.RX</v>
      </c>
      <c r="CG229" t="str">
        <f>IF(AND(CC229&lt;&gt;"",LEFT(CC229,1)&lt;&gt;"#"),IF(LEFT(CC229,1)="-",REPLACE(CC229,1,1,tech!$H$2),CC229),"")</f>
        <v/>
      </c>
      <c r="CH229" t="s">
        <v>495</v>
      </c>
      <c r="CI229" s="492"/>
      <c r="CJ229" t="str">
        <f t="shared" si="242"/>
        <v>Periodically review knowledge</v>
      </c>
      <c r="CK229" t="str">
        <f t="shared" si="252"/>
        <v>References</v>
      </c>
      <c r="CL229" t="str">
        <f t="shared" si="276"/>
        <v>4.2.5.RX</v>
      </c>
      <c r="CM229" t="str">
        <f>IF(AND(CI229&lt;&gt;"",LEFT(CI229,1)&lt;&gt;"#"),IF(LEFT(CI229,1)="-",REPLACE(CI229,1,1,tech!$H$2),CI229),"")</f>
        <v/>
      </c>
      <c r="CN229" t="s">
        <v>495</v>
      </c>
      <c r="CO229" s="492"/>
      <c r="CP229" t="str">
        <f t="shared" si="243"/>
        <v>Timely communication of important information</v>
      </c>
      <c r="CQ229" t="str">
        <f t="shared" si="253"/>
        <v>References</v>
      </c>
      <c r="CR229" t="str">
        <f t="shared" si="277"/>
        <v>4.3.4.RX</v>
      </c>
      <c r="CS229" t="str">
        <f>IF(AND(CO229&lt;&gt;"",LEFT(CO229,1)&lt;&gt;"#"),IF(LEFT(CO229,1)="-",REPLACE(CO229,1,1,tech!$H$2),CO229),"")</f>
        <v/>
      </c>
      <c r="CT229" t="s">
        <v>495</v>
      </c>
    </row>
    <row r="230" spans="15:98" ht="15.75" thickBot="1" x14ac:dyDescent="0.3">
      <c r="O230" s="213"/>
      <c r="P230" t="str">
        <f t="shared" si="254"/>
        <v>Policies are periodically reviewed and updated</v>
      </c>
      <c r="Q230" t="str">
        <f t="shared" si="255"/>
        <v>References</v>
      </c>
      <c r="R230" t="str">
        <f t="shared" si="256"/>
        <v>1.2.5.RX</v>
      </c>
      <c r="S230" t="str">
        <f>IF(AND(O230&lt;&gt;"",LEFT(O230,1)&lt;&gt;"#"),IF(LEFT(O230,1)="-",REPLACE(O230,1,1,tech!$H$2),O230),"")</f>
        <v/>
      </c>
      <c r="T230" t="s">
        <v>495</v>
      </c>
      <c r="U230" s="213"/>
      <c r="V230" t="str">
        <f t="shared" si="257"/>
        <v>List of relevant laws, regulations, and standards, exist and is maintained</v>
      </c>
      <c r="W230" t="str">
        <f t="shared" si="258"/>
        <v>References</v>
      </c>
      <c r="X230" t="str">
        <f t="shared" si="259"/>
        <v>1.3.4.RX</v>
      </c>
      <c r="Y230" t="str">
        <f>IF(AND(U230&lt;&gt;"",LEFT(U230,1)&lt;&gt;"#"),IF(LEFT(U230,1)="-",REPLACE(U230,1,1,tech!$H$2),U230),"")</f>
        <v/>
      </c>
      <c r="Z230" t="s">
        <v>495</v>
      </c>
      <c r="AA230" s="213"/>
      <c r="AB230" t="str">
        <f t="shared" si="260"/>
        <v>Processes and procedures are reviewed and updated</v>
      </c>
      <c r="AC230" t="str">
        <f t="shared" si="261"/>
        <v>References</v>
      </c>
      <c r="AD230" t="str">
        <f t="shared" si="262"/>
        <v>1.4.5.RX</v>
      </c>
      <c r="AE230" t="str">
        <f>IF(AND(AA230&lt;&gt;"",LEFT(AA230,1)&lt;&gt;"#"),IF(LEFT(AA230,1)="-",REPLACE(AA230,1,1,tech!$H$2),AA230),"")</f>
        <v/>
      </c>
      <c r="AF230" t="s">
        <v>495</v>
      </c>
      <c r="AG230" s="213"/>
      <c r="AH230" t="str">
        <f t="shared" si="263"/>
        <v>Key management is periodically reviewed and updated</v>
      </c>
      <c r="AI230" t="str">
        <f t="shared" si="264"/>
        <v>References</v>
      </c>
      <c r="AJ230" t="str">
        <f t="shared" si="265"/>
        <v>2.1.6.RX</v>
      </c>
      <c r="AK230" t="str">
        <f>IF(AND(AG230&lt;&gt;"",LEFT(AG230,1)&lt;&gt;"#"),IF(LEFT(AG230,1)="-",REPLACE(AG230,1,1,tech!$H$2),AG230),"")</f>
        <v/>
      </c>
      <c r="AL230" t="s">
        <v>495</v>
      </c>
      <c r="AM230" s="213"/>
      <c r="AN230" t="str">
        <f t="shared" si="266"/>
        <v>Organizational PKI governance</v>
      </c>
      <c r="AO230" t="str">
        <f t="shared" si="267"/>
        <v>References</v>
      </c>
      <c r="AP230" t="str">
        <f t="shared" si="268"/>
        <v>2.2.7.RX</v>
      </c>
      <c r="AQ230" t="str">
        <f>IF(AND(AM230&lt;&gt;"",LEFT(AM230,1)&lt;&gt;"#"),IF(LEFT(AM230,1)="-",REPLACE(AM230,1,1,tech!$H$2),AM230),"")</f>
        <v/>
      </c>
      <c r="AR230" t="s">
        <v>495</v>
      </c>
      <c r="AS230" s="213"/>
      <c r="AT230" t="str">
        <f t="shared" si="235"/>
        <v>Infrastructure activities are periodically reviewed</v>
      </c>
      <c r="AU230" t="str">
        <f t="shared" si="245"/>
        <v>References</v>
      </c>
      <c r="AV230" t="str">
        <f t="shared" si="269"/>
        <v>2.3.5.RX</v>
      </c>
      <c r="AW230" t="str">
        <f>IF(AND(AS230&lt;&gt;"",LEFT(AS230,1)&lt;&gt;"#"),IF(LEFT(AS230,1)="-",REPLACE(AS230,1,1,tech!$H$2),AS230),"")</f>
        <v/>
      </c>
      <c r="AX230" t="s">
        <v>495</v>
      </c>
      <c r="AY230" s="213"/>
      <c r="AZ230" t="str">
        <f t="shared" si="236"/>
        <v>Change management and agility is periodically reviewed</v>
      </c>
      <c r="BA230" t="str">
        <f t="shared" si="246"/>
        <v>References</v>
      </c>
      <c r="BB230" t="str">
        <f t="shared" si="270"/>
        <v>2.4.5.RX</v>
      </c>
      <c r="BC230" t="str">
        <f>IF(AND(AY230&lt;&gt;"",LEFT(AY230,1)&lt;&gt;"#"),IF(LEFT(AY230,1)="-",REPLACE(AY230,1,1,tech!$H$2),AY230),"")</f>
        <v/>
      </c>
      <c r="BD230" t="s">
        <v>495</v>
      </c>
      <c r="BE230" s="213"/>
      <c r="BF230" t="str">
        <f t="shared" si="237"/>
        <v>Continual review and improvement</v>
      </c>
      <c r="BG230" t="str">
        <f t="shared" si="247"/>
        <v>References</v>
      </c>
      <c r="BH230" t="str">
        <f t="shared" si="271"/>
        <v>3.1.6.RX</v>
      </c>
      <c r="BI230" t="str">
        <f>IF(AND(BE230&lt;&gt;"",LEFT(BE230,1)&lt;&gt;"#"),IF(LEFT(BE230,1)="-",REPLACE(BE230,1,1,tech!$H$2),BE230),"")</f>
        <v/>
      </c>
      <c r="BJ230" t="s">
        <v>495</v>
      </c>
      <c r="BK230" s="213"/>
      <c r="BL230" t="str">
        <f t="shared" si="238"/>
        <v>Adoption and application of open standards</v>
      </c>
      <c r="BM230" t="str">
        <f t="shared" si="248"/>
        <v>References</v>
      </c>
      <c r="BN230" t="str">
        <f t="shared" si="272"/>
        <v>3.2.3.RX</v>
      </c>
      <c r="BO230" t="str">
        <f>IF(AND(BK230&lt;&gt;"",LEFT(BK230,1)&lt;&gt;"#"),IF(LEFT(BK230,1)="-",REPLACE(BK230,1,1,tech!$H$2),BK230),"")</f>
        <v/>
      </c>
      <c r="BP230" t="s">
        <v>495</v>
      </c>
      <c r="BQ230" s="213"/>
      <c r="BR230" t="str">
        <f t="shared" si="239"/>
        <v>Review of events and logs is periodically performed</v>
      </c>
      <c r="BS230" t="str">
        <f t="shared" si="249"/>
        <v>References</v>
      </c>
      <c r="BT230" t="str">
        <f t="shared" si="273"/>
        <v>3.3.6.RX</v>
      </c>
      <c r="BU230" t="str">
        <f>IF(AND(BQ230&lt;&gt;"",LEFT(BQ230,1)&lt;&gt;"#"),IF(LEFT(BQ230,1)="-",REPLACE(BQ230,1,1,tech!$H$2),BQ230),"")</f>
        <v/>
      </c>
      <c r="BV230" t="s">
        <v>495</v>
      </c>
      <c r="BW230" s="213"/>
      <c r="BX230" t="str">
        <f t="shared" si="240"/>
        <v>Incidents and exceptions handling</v>
      </c>
      <c r="BY230" t="str">
        <f t="shared" si="250"/>
        <v>References</v>
      </c>
      <c r="BZ230" t="str">
        <f t="shared" si="274"/>
        <v>3.4.3.RX</v>
      </c>
      <c r="CA230" t="str">
        <f>IF(AND(BW230&lt;&gt;"",LEFT(BW230,1)&lt;&gt;"#"),IF(LEFT(BW230,1)="-",REPLACE(BW230,1,1,tech!$H$2),BW230),"")</f>
        <v/>
      </c>
      <c r="CB230" t="s">
        <v>495</v>
      </c>
      <c r="CC230" s="213"/>
      <c r="CD230" t="str">
        <f t="shared" si="241"/>
        <v>Resources are periodically reviewed</v>
      </c>
      <c r="CE230" t="str">
        <f t="shared" si="251"/>
        <v>References</v>
      </c>
      <c r="CF230" t="str">
        <f t="shared" si="275"/>
        <v>4.1.4.RX</v>
      </c>
      <c r="CG230" t="str">
        <f>IF(AND(CC230&lt;&gt;"",LEFT(CC230,1)&lt;&gt;"#"),IF(LEFT(CC230,1)="-",REPLACE(CC230,1,1,tech!$H$2),CC230),"")</f>
        <v/>
      </c>
      <c r="CH230" t="s">
        <v>495</v>
      </c>
      <c r="CI230" s="213"/>
      <c r="CJ230" t="str">
        <f t="shared" si="242"/>
        <v>Periodically review knowledge</v>
      </c>
      <c r="CK230" t="str">
        <f t="shared" si="252"/>
        <v>References</v>
      </c>
      <c r="CL230" t="str">
        <f t="shared" si="276"/>
        <v>4.2.5.RX</v>
      </c>
      <c r="CM230" t="str">
        <f>IF(AND(CI230&lt;&gt;"",LEFT(CI230,1)&lt;&gt;"#"),IF(LEFT(CI230,1)="-",REPLACE(CI230,1,1,tech!$H$2),CI230),"")</f>
        <v/>
      </c>
      <c r="CN230" t="s">
        <v>495</v>
      </c>
      <c r="CO230" s="213"/>
      <c r="CP230" t="str">
        <f t="shared" si="243"/>
        <v>Timely communication of important information</v>
      </c>
      <c r="CQ230" t="str">
        <f t="shared" si="253"/>
        <v>References</v>
      </c>
      <c r="CR230" t="str">
        <f t="shared" si="277"/>
        <v>4.3.4.RX</v>
      </c>
      <c r="CS230" t="str">
        <f>IF(AND(CO230&lt;&gt;"",LEFT(CO230,1)&lt;&gt;"#"),IF(LEFT(CO230,1)="-",REPLACE(CO230,1,1,tech!$H$2),CO230),"")</f>
        <v/>
      </c>
      <c r="CT230" t="s">
        <v>495</v>
      </c>
    </row>
  </sheetData>
  <hyperlinks>
    <hyperlink ref="C3" r:id="rId1" xr:uid="{3D04BA63-FE47-43E4-90C4-42D3323EDECA}"/>
    <hyperlink ref="I3" r:id="rId2" xr:uid="{85756A8A-01D8-4F15-A53B-571D5013510A}"/>
    <hyperlink ref="O3" r:id="rId3" xr:uid="{929300B3-4251-45D7-A95A-B228FEA559DC}"/>
    <hyperlink ref="U3" r:id="rId4" xr:uid="{A3CA3DBC-A0DF-4BCC-A361-0771B05EE11B}"/>
    <hyperlink ref="AA3" r:id="rId5" xr:uid="{1337ED3B-9E6A-40A0-B7F6-B237F4331592}"/>
    <hyperlink ref="AG3" r:id="rId6" xr:uid="{CA360B80-7E72-4FB9-8A65-BBF47BBA614D}"/>
    <hyperlink ref="AM3" r:id="rId7" xr:uid="{DC30BFBC-8016-49CF-BFF2-FB9C9E2D2BB0}"/>
    <hyperlink ref="AS3" r:id="rId8" xr:uid="{0E596547-0A69-4766-AF5B-14C9415EB1AE}"/>
    <hyperlink ref="AY3" r:id="rId9" xr:uid="{913DABC1-90F0-4CDE-A181-19583BE6D1D7}"/>
    <hyperlink ref="BE3" r:id="rId10" xr:uid="{CD58EB68-35F3-4909-98BB-4D1B397F3799}"/>
    <hyperlink ref="BK3" r:id="rId11" xr:uid="{F6B9C5E4-C8BC-489B-87EF-B2055B04D086}"/>
    <hyperlink ref="BQ3" r:id="rId12" xr:uid="{6095B138-300D-4469-B6E7-73ECA3CDDC0E}"/>
    <hyperlink ref="BW3" r:id="rId13" xr:uid="{623039C1-6724-432A-8E2A-2DE5A0C62244}"/>
    <hyperlink ref="CC3" r:id="rId14" xr:uid="{7EE932F0-54C8-411C-9BC1-084037F066EE}"/>
    <hyperlink ref="CI3" r:id="rId15" xr:uid="{9B2B2C0D-2E1A-4E56-9B18-51FC540795E0}"/>
    <hyperlink ref="CO3" r:id="rId16" xr:uid="{E0CF027D-847A-4AD8-838F-49E30D694201}"/>
    <hyperlink ref="CU3" r:id="rId17" xr:uid="{402773C6-2F8A-45E4-8930-1C2321176775}"/>
  </hyperlinks>
  <pageMargins left="0.7" right="0.7" top="0.78740157499999996" bottom="0.78740157499999996" header="0.3" footer="0.3"/>
  <pageSetup paperSize="9" orientation="portrait" r:id="rId1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A8DAE-E049-4A8C-9B77-AA10A8354ACD}">
  <dimension ref="B2:O115"/>
  <sheetViews>
    <sheetView showGridLines="0" workbookViewId="0">
      <pane ySplit="10" topLeftCell="A11" activePane="bottomLeft" state="frozen"/>
      <selection pane="bottomLeft" activeCell="D5" sqref="D5:H5"/>
    </sheetView>
  </sheetViews>
  <sheetFormatPr defaultColWidth="8.85546875" defaultRowHeight="15" x14ac:dyDescent="0.25"/>
  <cols>
    <col min="1" max="1" width="2.85546875" customWidth="1"/>
    <col min="2" max="2" width="9.140625" customWidth="1"/>
    <col min="3" max="10" width="10" customWidth="1"/>
    <col min="11" max="11" width="10.7109375" customWidth="1"/>
    <col min="12" max="14" width="11.42578125" customWidth="1"/>
    <col min="15" max="15" width="9.140625" customWidth="1"/>
  </cols>
  <sheetData>
    <row r="2" spans="2:15" ht="58.5" x14ac:dyDescent="0.85">
      <c r="B2" s="584" t="s">
        <v>418</v>
      </c>
      <c r="C2" s="584"/>
      <c r="D2" s="584"/>
      <c r="E2" s="584"/>
      <c r="F2" s="584"/>
      <c r="G2" s="584"/>
      <c r="H2" s="584"/>
      <c r="I2" s="584"/>
      <c r="J2" s="584"/>
      <c r="K2" s="584"/>
      <c r="L2" s="584"/>
      <c r="M2" s="584"/>
      <c r="N2" s="584"/>
      <c r="O2" s="584"/>
    </row>
    <row r="3" spans="2:15" ht="15.75" thickBot="1" x14ac:dyDescent="0.3"/>
    <row r="4" spans="2:15" ht="15.75" thickBot="1" x14ac:dyDescent="0.3">
      <c r="B4" s="589" t="s">
        <v>204</v>
      </c>
      <c r="C4" s="590"/>
      <c r="D4" s="590"/>
      <c r="E4" s="590"/>
      <c r="F4" s="590"/>
      <c r="G4" s="590"/>
      <c r="H4" s="591"/>
      <c r="J4" s="567" t="s">
        <v>280</v>
      </c>
      <c r="K4" s="568"/>
      <c r="L4" s="568"/>
      <c r="M4" s="568"/>
      <c r="N4" s="568"/>
      <c r="O4" s="569"/>
    </row>
    <row r="5" spans="2:15" x14ac:dyDescent="0.25">
      <c r="B5" s="587" t="s">
        <v>205</v>
      </c>
      <c r="C5" s="588"/>
      <c r="D5" s="592" t="s">
        <v>333</v>
      </c>
      <c r="E5" s="592"/>
      <c r="F5" s="592"/>
      <c r="G5" s="592"/>
      <c r="H5" s="593"/>
      <c r="J5" s="587" t="s">
        <v>284</v>
      </c>
      <c r="K5" s="588"/>
      <c r="L5" s="579" t="s">
        <v>283</v>
      </c>
      <c r="M5" s="580"/>
      <c r="N5" s="580"/>
      <c r="O5" s="581"/>
    </row>
    <row r="6" spans="2:15" x14ac:dyDescent="0.25">
      <c r="B6" s="585" t="s">
        <v>208</v>
      </c>
      <c r="C6" s="586"/>
      <c r="D6" s="594" t="s">
        <v>212</v>
      </c>
      <c r="E6" s="594"/>
      <c r="F6" s="594"/>
      <c r="G6" s="594"/>
      <c r="H6" s="595"/>
      <c r="J6" s="585" t="s">
        <v>208</v>
      </c>
      <c r="K6" s="586"/>
      <c r="L6" s="576" t="s">
        <v>212</v>
      </c>
      <c r="M6" s="577"/>
      <c r="N6" s="577"/>
      <c r="O6" s="578"/>
    </row>
    <row r="7" spans="2:15" x14ac:dyDescent="0.25">
      <c r="B7" s="585" t="s">
        <v>207</v>
      </c>
      <c r="C7" s="586"/>
      <c r="D7" s="596">
        <v>45048</v>
      </c>
      <c r="E7" s="596"/>
      <c r="F7" s="596"/>
      <c r="G7" s="596"/>
      <c r="H7" s="597"/>
      <c r="J7" s="585" t="s">
        <v>281</v>
      </c>
      <c r="K7" s="586"/>
      <c r="L7" s="576" t="s">
        <v>213</v>
      </c>
      <c r="M7" s="577"/>
      <c r="N7" s="577"/>
      <c r="O7" s="578"/>
    </row>
    <row r="8" spans="2:15" x14ac:dyDescent="0.25">
      <c r="B8" s="585" t="s">
        <v>276</v>
      </c>
      <c r="C8" s="586"/>
      <c r="D8" s="596">
        <v>45103</v>
      </c>
      <c r="E8" s="596"/>
      <c r="F8" s="596"/>
      <c r="G8" s="596"/>
      <c r="H8" s="597"/>
      <c r="J8" s="585"/>
      <c r="K8" s="586"/>
      <c r="L8" s="573"/>
      <c r="M8" s="574"/>
      <c r="N8" s="574"/>
      <c r="O8" s="575"/>
    </row>
    <row r="9" spans="2:15" ht="15.75" thickBot="1" x14ac:dyDescent="0.3">
      <c r="B9" s="565" t="s">
        <v>282</v>
      </c>
      <c r="C9" s="566"/>
      <c r="D9" s="570">
        <v>45108</v>
      </c>
      <c r="E9" s="571"/>
      <c r="F9" s="582" t="str">
        <f>IF(D9="","",_xlfn.CONCAT(ABS(D8-D9)," ",IF(ABS(D8-D9)=1,tech!B134,tech!B135)," ",IF(D8&gt;D9,tech!A134,tech!A135)))</f>
        <v>5 days late</v>
      </c>
      <c r="G9" s="582"/>
      <c r="H9" s="583"/>
      <c r="J9" s="565"/>
      <c r="K9" s="566"/>
      <c r="L9" s="570"/>
      <c r="M9" s="571"/>
      <c r="N9" s="571"/>
      <c r="O9" s="572"/>
    </row>
    <row r="10" spans="2:15" ht="6" customHeight="1" x14ac:dyDescent="0.25"/>
    <row r="12" spans="2:15" ht="33.75" x14ac:dyDescent="0.5">
      <c r="B12" s="598" t="s">
        <v>303</v>
      </c>
      <c r="C12" s="598"/>
      <c r="D12" s="598"/>
      <c r="E12" s="598"/>
      <c r="F12" s="598"/>
      <c r="G12" s="598"/>
      <c r="H12" s="598"/>
    </row>
    <row r="13" spans="2:15" ht="6" customHeight="1" x14ac:dyDescent="0.25"/>
    <row r="14" spans="2:15" x14ac:dyDescent="0.25">
      <c r="B14" s="564" t="s">
        <v>304</v>
      </c>
      <c r="C14" s="564"/>
      <c r="D14" s="564"/>
      <c r="E14" s="564"/>
      <c r="F14" s="564"/>
      <c r="G14" s="564"/>
      <c r="H14" s="564"/>
      <c r="I14" s="564"/>
    </row>
    <row r="15" spans="2:15" ht="6" customHeight="1" thickBot="1" x14ac:dyDescent="0.3"/>
    <row r="16" spans="2:15" ht="240" customHeight="1" thickBot="1" x14ac:dyDescent="0.3">
      <c r="B16" s="561"/>
      <c r="C16" s="562"/>
      <c r="D16" s="562"/>
      <c r="E16" s="562"/>
      <c r="F16" s="562"/>
      <c r="G16" s="562"/>
      <c r="H16" s="562"/>
      <c r="I16" s="562"/>
      <c r="J16" s="562"/>
      <c r="K16" s="562"/>
      <c r="L16" s="562"/>
      <c r="M16" s="562"/>
      <c r="N16" s="562"/>
      <c r="O16" s="563"/>
    </row>
    <row r="18" spans="2:15" x14ac:dyDescent="0.25">
      <c r="B18" s="564" t="s">
        <v>305</v>
      </c>
      <c r="C18" s="564"/>
      <c r="D18" s="564"/>
      <c r="E18" s="564"/>
      <c r="F18" s="564"/>
      <c r="G18" s="564"/>
      <c r="H18" s="564"/>
      <c r="I18" s="564"/>
    </row>
    <row r="19" spans="2:15" ht="6" customHeight="1" thickBot="1" x14ac:dyDescent="0.3"/>
    <row r="20" spans="2:15" ht="150" customHeight="1" thickBot="1" x14ac:dyDescent="0.3">
      <c r="B20" s="561"/>
      <c r="C20" s="562"/>
      <c r="D20" s="562"/>
      <c r="E20" s="562"/>
      <c r="F20" s="562"/>
      <c r="G20" s="562"/>
      <c r="H20" s="562"/>
      <c r="I20" s="562"/>
      <c r="J20" s="562"/>
      <c r="K20" s="562"/>
      <c r="L20" s="562"/>
      <c r="M20" s="562"/>
      <c r="N20" s="562"/>
      <c r="O20" s="563"/>
    </row>
    <row r="22" spans="2:15" x14ac:dyDescent="0.25">
      <c r="B22" s="564" t="s">
        <v>306</v>
      </c>
      <c r="C22" s="564"/>
      <c r="D22" s="564"/>
      <c r="E22" s="564"/>
      <c r="F22" s="564"/>
      <c r="G22" s="564"/>
      <c r="H22" s="564"/>
      <c r="I22" s="564"/>
    </row>
    <row r="23" spans="2:15" ht="6" customHeight="1" thickBot="1" x14ac:dyDescent="0.3"/>
    <row r="24" spans="2:15" ht="75" customHeight="1" thickBot="1" x14ac:dyDescent="0.3">
      <c r="B24" s="561"/>
      <c r="C24" s="562"/>
      <c r="D24" s="562"/>
      <c r="E24" s="562"/>
      <c r="F24" s="562"/>
      <c r="G24" s="562"/>
      <c r="H24" s="562"/>
      <c r="I24" s="562"/>
      <c r="J24" s="562"/>
      <c r="K24" s="562"/>
      <c r="L24" s="562"/>
      <c r="M24" s="562"/>
      <c r="N24" s="562"/>
      <c r="O24" s="563"/>
    </row>
    <row r="26" spans="2:15" ht="33.75" x14ac:dyDescent="0.5">
      <c r="B26" s="598" t="s">
        <v>154</v>
      </c>
      <c r="C26" s="598"/>
      <c r="D26" s="598"/>
      <c r="E26" s="598"/>
      <c r="F26" s="598"/>
      <c r="G26" s="598"/>
      <c r="H26" s="598"/>
      <c r="I26" s="598"/>
    </row>
    <row r="27" spans="2:15" x14ac:dyDescent="0.25">
      <c r="B27" t="s">
        <v>307</v>
      </c>
    </row>
    <row r="29" spans="2:15" x14ac:dyDescent="0.25">
      <c r="B29" s="564" t="s">
        <v>308</v>
      </c>
      <c r="C29" s="564"/>
      <c r="D29" s="564"/>
      <c r="E29" s="564"/>
      <c r="F29" s="564"/>
      <c r="G29" s="564"/>
      <c r="H29" s="564"/>
      <c r="I29" s="564"/>
    </row>
    <row r="30" spans="2:15" ht="6" customHeight="1" thickBot="1" x14ac:dyDescent="0.3"/>
    <row r="31" spans="2:15" ht="150" customHeight="1" thickBot="1" x14ac:dyDescent="0.3">
      <c r="B31" s="561"/>
      <c r="C31" s="562"/>
      <c r="D31" s="562"/>
      <c r="E31" s="562"/>
      <c r="F31" s="562"/>
      <c r="G31" s="562"/>
      <c r="H31" s="562"/>
      <c r="I31" s="562"/>
      <c r="J31" s="562"/>
      <c r="K31" s="562"/>
      <c r="L31" s="562"/>
      <c r="M31" s="562"/>
      <c r="N31" s="562"/>
      <c r="O31" s="563"/>
    </row>
    <row r="33" spans="2:15" x14ac:dyDescent="0.25">
      <c r="B33" s="564" t="s">
        <v>309</v>
      </c>
      <c r="C33" s="564"/>
      <c r="D33" s="564"/>
      <c r="E33" s="564"/>
      <c r="F33" s="564"/>
      <c r="G33" s="564"/>
      <c r="H33" s="564"/>
      <c r="I33" s="564"/>
    </row>
    <row r="34" spans="2:15" ht="6" customHeight="1" thickBot="1" x14ac:dyDescent="0.3"/>
    <row r="35" spans="2:15" ht="150" customHeight="1" thickBot="1" x14ac:dyDescent="0.3">
      <c r="B35" s="561"/>
      <c r="C35" s="562"/>
      <c r="D35" s="562"/>
      <c r="E35" s="562"/>
      <c r="F35" s="562"/>
      <c r="G35" s="562"/>
      <c r="H35" s="562"/>
      <c r="I35" s="562"/>
      <c r="J35" s="562"/>
      <c r="K35" s="562"/>
      <c r="L35" s="562"/>
      <c r="M35" s="562"/>
      <c r="N35" s="562"/>
      <c r="O35" s="563"/>
    </row>
    <row r="37" spans="2:15" ht="7.5" customHeight="1" x14ac:dyDescent="0.25">
      <c r="B37" s="218"/>
      <c r="C37" s="218"/>
      <c r="D37" s="218"/>
      <c r="E37" s="218"/>
      <c r="F37" s="218"/>
      <c r="G37" s="218"/>
      <c r="H37" s="218"/>
      <c r="I37" s="218"/>
      <c r="J37" s="218"/>
      <c r="K37" s="218"/>
      <c r="L37" s="218"/>
      <c r="M37" s="218"/>
      <c r="N37" s="218"/>
      <c r="O37" s="218"/>
    </row>
    <row r="39" spans="2:15" ht="33.75" x14ac:dyDescent="0.5">
      <c r="B39" s="598" t="s">
        <v>214</v>
      </c>
      <c r="C39" s="598"/>
      <c r="D39" s="598"/>
      <c r="E39" s="598"/>
      <c r="F39" s="598"/>
      <c r="G39" s="598"/>
      <c r="H39" s="598"/>
    </row>
    <row r="40" spans="2:15" ht="6" customHeight="1" x14ac:dyDescent="0.25"/>
    <row r="41" spans="2:15" ht="33.75" customHeight="1" x14ac:dyDescent="0.25">
      <c r="B41" s="520" t="s">
        <v>215</v>
      </c>
      <c r="C41" s="520"/>
      <c r="D41" s="520"/>
      <c r="E41" s="520"/>
      <c r="F41" s="520"/>
      <c r="G41" s="520"/>
      <c r="H41" s="520"/>
      <c r="I41" s="520"/>
      <c r="J41" s="520"/>
      <c r="K41" s="520"/>
      <c r="L41" s="520"/>
      <c r="M41" s="520"/>
      <c r="N41" s="520"/>
      <c r="O41" s="520"/>
    </row>
    <row r="43" spans="2:15" ht="26.25" x14ac:dyDescent="0.4">
      <c r="B43" s="599" t="s">
        <v>216</v>
      </c>
      <c r="C43" s="599"/>
      <c r="D43" s="599"/>
      <c r="E43" s="599"/>
      <c r="F43" s="599"/>
      <c r="G43" s="599"/>
      <c r="H43" s="599"/>
    </row>
    <row r="44" spans="2:15" ht="6" customHeight="1" x14ac:dyDescent="0.25"/>
    <row r="45" spans="2:15" ht="33.75" customHeight="1" x14ac:dyDescent="0.25">
      <c r="B45" s="613" t="s">
        <v>217</v>
      </c>
      <c r="C45" s="613"/>
      <c r="D45" s="613"/>
      <c r="E45" s="613"/>
      <c r="F45" s="613"/>
      <c r="G45" s="613"/>
      <c r="H45" s="613"/>
      <c r="I45" s="613"/>
      <c r="J45" s="613"/>
      <c r="K45" s="613"/>
      <c r="L45" s="613"/>
      <c r="M45" s="613"/>
      <c r="N45" s="613"/>
      <c r="O45" s="613"/>
    </row>
    <row r="46" spans="2:15" ht="63.75" customHeight="1" x14ac:dyDescent="0.25">
      <c r="B46" s="614" t="s">
        <v>218</v>
      </c>
      <c r="C46" s="613"/>
      <c r="D46" s="613"/>
      <c r="E46" s="613"/>
      <c r="F46" s="613"/>
      <c r="G46" s="613"/>
      <c r="H46" s="613"/>
      <c r="I46" s="613"/>
      <c r="J46" s="613"/>
      <c r="K46" s="613"/>
      <c r="L46" s="613"/>
      <c r="M46" s="613"/>
      <c r="N46" s="613"/>
      <c r="O46" s="613"/>
    </row>
    <row r="48" spans="2:15" ht="26.25" x14ac:dyDescent="0.4">
      <c r="B48" s="599" t="s">
        <v>219</v>
      </c>
      <c r="C48" s="599"/>
      <c r="D48" s="599"/>
      <c r="E48" s="599"/>
      <c r="F48" s="599"/>
      <c r="G48" s="599"/>
      <c r="H48" s="599"/>
    </row>
    <row r="49" spans="2:15" ht="6" customHeight="1" x14ac:dyDescent="0.25"/>
    <row r="50" spans="2:15" ht="48.75" customHeight="1" x14ac:dyDescent="0.25">
      <c r="B50" s="613" t="s">
        <v>220</v>
      </c>
      <c r="C50" s="613"/>
      <c r="D50" s="613"/>
      <c r="E50" s="613"/>
      <c r="F50" s="613"/>
      <c r="G50" s="613"/>
      <c r="H50" s="613"/>
      <c r="I50" s="613"/>
      <c r="J50" s="613"/>
      <c r="K50" s="613"/>
      <c r="L50" s="613"/>
      <c r="M50" s="613"/>
      <c r="N50" s="613"/>
      <c r="O50" s="613"/>
    </row>
    <row r="51" spans="2:15" x14ac:dyDescent="0.25">
      <c r="B51" s="614" t="s">
        <v>221</v>
      </c>
      <c r="C51" s="613"/>
      <c r="D51" s="613"/>
      <c r="E51" s="613"/>
      <c r="F51" s="613"/>
      <c r="G51" s="613"/>
      <c r="H51" s="613"/>
      <c r="I51" s="613"/>
      <c r="J51" s="613"/>
      <c r="K51" s="613"/>
      <c r="L51" s="613"/>
      <c r="M51" s="613"/>
      <c r="N51" s="613"/>
      <c r="O51" s="613"/>
    </row>
    <row r="52" spans="2:15" ht="15.75" thickBot="1" x14ac:dyDescent="0.3"/>
    <row r="53" spans="2:15" ht="26.25" customHeight="1" thickBot="1" x14ac:dyDescent="0.3">
      <c r="C53" s="615" t="s">
        <v>141</v>
      </c>
      <c r="D53" s="616"/>
      <c r="E53" s="617" t="s">
        <v>222</v>
      </c>
      <c r="F53" s="618"/>
      <c r="G53" s="618"/>
      <c r="H53" s="618"/>
      <c r="I53" s="618"/>
      <c r="J53" s="618"/>
      <c r="K53" s="618"/>
      <c r="L53" s="618"/>
      <c r="M53" s="618"/>
      <c r="N53" s="619"/>
    </row>
    <row r="54" spans="2:15" ht="18.75" customHeight="1" x14ac:dyDescent="0.25">
      <c r="C54" s="602" t="s">
        <v>47</v>
      </c>
      <c r="D54" s="603"/>
      <c r="E54" s="610" t="s">
        <v>223</v>
      </c>
      <c r="F54" s="611"/>
      <c r="G54" s="611"/>
      <c r="H54" s="611"/>
      <c r="I54" s="611"/>
      <c r="J54" s="611"/>
      <c r="K54" s="611"/>
      <c r="L54" s="611"/>
      <c r="M54" s="611"/>
      <c r="N54" s="612"/>
    </row>
    <row r="55" spans="2:15" ht="18.75" customHeight="1" x14ac:dyDescent="0.25">
      <c r="C55" s="600" t="s">
        <v>48</v>
      </c>
      <c r="D55" s="601"/>
      <c r="E55" s="607" t="s">
        <v>224</v>
      </c>
      <c r="F55" s="608"/>
      <c r="G55" s="608"/>
      <c r="H55" s="608"/>
      <c r="I55" s="608"/>
      <c r="J55" s="608"/>
      <c r="K55" s="608"/>
      <c r="L55" s="608"/>
      <c r="M55" s="608"/>
      <c r="N55" s="609"/>
    </row>
    <row r="56" spans="2:15" ht="18.75" customHeight="1" x14ac:dyDescent="0.25">
      <c r="C56" s="600" t="s">
        <v>49</v>
      </c>
      <c r="D56" s="601"/>
      <c r="E56" s="607" t="s">
        <v>225</v>
      </c>
      <c r="F56" s="608"/>
      <c r="G56" s="608"/>
      <c r="H56" s="608"/>
      <c r="I56" s="608"/>
      <c r="J56" s="608"/>
      <c r="K56" s="608"/>
      <c r="L56" s="608"/>
      <c r="M56" s="608"/>
      <c r="N56" s="609"/>
    </row>
    <row r="57" spans="2:15" ht="18.75" customHeight="1" x14ac:dyDescent="0.25">
      <c r="C57" s="600" t="s">
        <v>50</v>
      </c>
      <c r="D57" s="601"/>
      <c r="E57" s="607" t="s">
        <v>226</v>
      </c>
      <c r="F57" s="608"/>
      <c r="G57" s="608"/>
      <c r="H57" s="608"/>
      <c r="I57" s="608"/>
      <c r="J57" s="608"/>
      <c r="K57" s="608"/>
      <c r="L57" s="608"/>
      <c r="M57" s="608"/>
      <c r="N57" s="609"/>
    </row>
    <row r="58" spans="2:15" ht="33.75" customHeight="1" thickBot="1" x14ac:dyDescent="0.3">
      <c r="C58" s="623" t="s">
        <v>51</v>
      </c>
      <c r="D58" s="624"/>
      <c r="E58" s="604" t="s">
        <v>227</v>
      </c>
      <c r="F58" s="605"/>
      <c r="G58" s="605"/>
      <c r="H58" s="605"/>
      <c r="I58" s="605"/>
      <c r="J58" s="605"/>
      <c r="K58" s="605"/>
      <c r="L58" s="605"/>
      <c r="M58" s="605"/>
      <c r="N58" s="606"/>
    </row>
    <row r="60" spans="2:15" ht="26.25" x14ac:dyDescent="0.4">
      <c r="B60" s="599" t="s">
        <v>228</v>
      </c>
      <c r="C60" s="599"/>
      <c r="D60" s="599"/>
      <c r="E60" s="599"/>
      <c r="F60" s="599"/>
      <c r="G60" s="599"/>
      <c r="H60" s="599"/>
    </row>
    <row r="61" spans="2:15" ht="6" customHeight="1" x14ac:dyDescent="0.25"/>
    <row r="62" spans="2:15" x14ac:dyDescent="0.25">
      <c r="B62" s="613" t="s">
        <v>229</v>
      </c>
      <c r="C62" s="613"/>
      <c r="D62" s="613"/>
      <c r="E62" s="613"/>
      <c r="F62" s="613"/>
      <c r="G62" s="613"/>
      <c r="H62" s="613"/>
      <c r="I62" s="613"/>
      <c r="J62" s="613"/>
      <c r="K62" s="613"/>
      <c r="L62" s="613"/>
      <c r="M62" s="613"/>
      <c r="N62" s="613"/>
      <c r="O62" s="613"/>
    </row>
    <row r="63" spans="2:15" ht="15.75" thickBot="1" x14ac:dyDescent="0.3"/>
    <row r="64" spans="2:15" ht="26.25" customHeight="1" thickBot="1" x14ac:dyDescent="0.3">
      <c r="C64" s="615" t="s">
        <v>2</v>
      </c>
      <c r="D64" s="616"/>
      <c r="E64" s="617" t="s">
        <v>42</v>
      </c>
      <c r="F64" s="618"/>
      <c r="G64" s="618"/>
      <c r="H64" s="618"/>
      <c r="I64" s="618"/>
      <c r="J64" s="618"/>
      <c r="K64" s="618"/>
      <c r="L64" s="618"/>
      <c r="M64" s="618"/>
      <c r="N64" s="619"/>
    </row>
    <row r="65" spans="2:15" ht="33.75" customHeight="1" x14ac:dyDescent="0.25">
      <c r="C65" s="602" t="s">
        <v>230</v>
      </c>
      <c r="D65" s="603"/>
      <c r="E65" s="620" t="s">
        <v>234</v>
      </c>
      <c r="F65" s="621"/>
      <c r="G65" s="621"/>
      <c r="H65" s="621"/>
      <c r="I65" s="621"/>
      <c r="J65" s="621"/>
      <c r="K65" s="621"/>
      <c r="L65" s="621"/>
      <c r="M65" s="621"/>
      <c r="N65" s="622"/>
    </row>
    <row r="66" spans="2:15" ht="33.75" customHeight="1" x14ac:dyDescent="0.25">
      <c r="C66" s="600" t="s">
        <v>231</v>
      </c>
      <c r="D66" s="601"/>
      <c r="E66" s="629" t="s">
        <v>235</v>
      </c>
      <c r="F66" s="630"/>
      <c r="G66" s="630"/>
      <c r="H66" s="630"/>
      <c r="I66" s="630"/>
      <c r="J66" s="630"/>
      <c r="K66" s="630"/>
      <c r="L66" s="630"/>
      <c r="M66" s="630"/>
      <c r="N66" s="631"/>
    </row>
    <row r="67" spans="2:15" ht="33.75" customHeight="1" x14ac:dyDescent="0.25">
      <c r="C67" s="600" t="s">
        <v>232</v>
      </c>
      <c r="D67" s="601"/>
      <c r="E67" s="629" t="s">
        <v>236</v>
      </c>
      <c r="F67" s="630"/>
      <c r="G67" s="630"/>
      <c r="H67" s="630"/>
      <c r="I67" s="630"/>
      <c r="J67" s="630"/>
      <c r="K67" s="630"/>
      <c r="L67" s="630"/>
      <c r="M67" s="630"/>
      <c r="N67" s="631"/>
    </row>
    <row r="68" spans="2:15" ht="33.75" customHeight="1" thickBot="1" x14ac:dyDescent="0.3">
      <c r="C68" s="623" t="s">
        <v>233</v>
      </c>
      <c r="D68" s="624"/>
      <c r="E68" s="604" t="s">
        <v>237</v>
      </c>
      <c r="F68" s="605"/>
      <c r="G68" s="605"/>
      <c r="H68" s="605"/>
      <c r="I68" s="605"/>
      <c r="J68" s="605"/>
      <c r="K68" s="605"/>
      <c r="L68" s="605"/>
      <c r="M68" s="605"/>
      <c r="N68" s="606"/>
    </row>
    <row r="70" spans="2:15" ht="26.25" x14ac:dyDescent="0.4">
      <c r="B70" s="599" t="s">
        <v>238</v>
      </c>
      <c r="C70" s="599"/>
      <c r="D70" s="599"/>
      <c r="E70" s="599"/>
      <c r="F70" s="599"/>
      <c r="G70" s="599"/>
      <c r="H70" s="599"/>
    </row>
    <row r="71" spans="2:15" ht="6" customHeight="1" x14ac:dyDescent="0.25"/>
    <row r="72" spans="2:15" ht="30.75" customHeight="1" x14ac:dyDescent="0.25">
      <c r="B72" s="613" t="s">
        <v>257</v>
      </c>
      <c r="C72" s="613"/>
      <c r="D72" s="613"/>
      <c r="E72" s="613"/>
      <c r="F72" s="613"/>
      <c r="G72" s="613"/>
      <c r="H72" s="613"/>
      <c r="I72" s="613"/>
      <c r="J72" s="613"/>
      <c r="K72" s="613"/>
      <c r="L72" s="613"/>
      <c r="M72" s="613"/>
      <c r="N72" s="613"/>
      <c r="O72" s="613"/>
    </row>
    <row r="73" spans="2:15" ht="15.75" thickBot="1" x14ac:dyDescent="0.3"/>
    <row r="74" spans="2:15" ht="26.25" customHeight="1" thickBot="1" x14ac:dyDescent="0.3">
      <c r="D74" s="632" t="s">
        <v>2</v>
      </c>
      <c r="E74" s="633"/>
      <c r="F74" s="634"/>
      <c r="G74" s="625" t="s">
        <v>0</v>
      </c>
      <c r="H74" s="626"/>
      <c r="I74" s="626"/>
      <c r="J74" s="626"/>
      <c r="K74" s="626"/>
      <c r="L74" s="627" t="s">
        <v>1</v>
      </c>
      <c r="M74" s="628"/>
    </row>
    <row r="75" spans="2:15" ht="18.75" customHeight="1" x14ac:dyDescent="0.25">
      <c r="D75" s="635" t="s">
        <v>230</v>
      </c>
      <c r="E75" s="636"/>
      <c r="F75" s="645"/>
      <c r="G75" s="663" t="s">
        <v>239</v>
      </c>
      <c r="H75" s="664"/>
      <c r="I75" s="664"/>
      <c r="J75" s="664"/>
      <c r="K75" s="664"/>
      <c r="L75" s="658">
        <v>5</v>
      </c>
      <c r="M75" s="659"/>
    </row>
    <row r="76" spans="2:15" ht="18.75" customHeight="1" x14ac:dyDescent="0.25">
      <c r="D76" s="637"/>
      <c r="E76" s="638"/>
      <c r="F76" s="646"/>
      <c r="G76" s="653" t="s">
        <v>240</v>
      </c>
      <c r="H76" s="654"/>
      <c r="I76" s="654"/>
      <c r="J76" s="654"/>
      <c r="K76" s="654"/>
      <c r="L76" s="655">
        <v>4</v>
      </c>
      <c r="M76" s="656"/>
    </row>
    <row r="77" spans="2:15" ht="18.75" customHeight="1" x14ac:dyDescent="0.25">
      <c r="D77" s="637"/>
      <c r="E77" s="638"/>
      <c r="F77" s="646"/>
      <c r="G77" s="653" t="s">
        <v>241</v>
      </c>
      <c r="H77" s="654"/>
      <c r="I77" s="654"/>
      <c r="J77" s="654"/>
      <c r="K77" s="654"/>
      <c r="L77" s="655">
        <v>2</v>
      </c>
      <c r="M77" s="656"/>
    </row>
    <row r="78" spans="2:15" ht="18.75" customHeight="1" thickBot="1" x14ac:dyDescent="0.3">
      <c r="D78" s="647"/>
      <c r="E78" s="648"/>
      <c r="F78" s="649"/>
      <c r="G78" s="657" t="s">
        <v>242</v>
      </c>
      <c r="H78" s="640"/>
      <c r="I78" s="640"/>
      <c r="J78" s="640"/>
      <c r="K78" s="640"/>
      <c r="L78" s="641">
        <v>3</v>
      </c>
      <c r="M78" s="642"/>
    </row>
    <row r="79" spans="2:15" ht="18.75" customHeight="1" x14ac:dyDescent="0.25">
      <c r="D79" s="635" t="s">
        <v>231</v>
      </c>
      <c r="E79" s="636"/>
      <c r="F79" s="645"/>
      <c r="G79" s="663" t="s">
        <v>243</v>
      </c>
      <c r="H79" s="664"/>
      <c r="I79" s="664"/>
      <c r="J79" s="664"/>
      <c r="K79" s="664"/>
      <c r="L79" s="658">
        <v>4</v>
      </c>
      <c r="M79" s="659"/>
    </row>
    <row r="80" spans="2:15" ht="18.75" customHeight="1" x14ac:dyDescent="0.25">
      <c r="D80" s="637"/>
      <c r="E80" s="638"/>
      <c r="F80" s="646"/>
      <c r="G80" s="653" t="s">
        <v>244</v>
      </c>
      <c r="H80" s="654"/>
      <c r="I80" s="654"/>
      <c r="J80" s="654"/>
      <c r="K80" s="654"/>
      <c r="L80" s="655">
        <v>4</v>
      </c>
      <c r="M80" s="656"/>
    </row>
    <row r="81" spans="2:15" ht="18.75" customHeight="1" x14ac:dyDescent="0.25">
      <c r="D81" s="637"/>
      <c r="E81" s="638"/>
      <c r="F81" s="646"/>
      <c r="G81" s="653" t="s">
        <v>246</v>
      </c>
      <c r="H81" s="654"/>
      <c r="I81" s="654"/>
      <c r="J81" s="654"/>
      <c r="K81" s="654"/>
      <c r="L81" s="655">
        <v>2</v>
      </c>
      <c r="M81" s="656"/>
    </row>
    <row r="82" spans="2:15" ht="18.75" customHeight="1" thickBot="1" x14ac:dyDescent="0.3">
      <c r="D82" s="647"/>
      <c r="E82" s="648"/>
      <c r="F82" s="649"/>
      <c r="G82" s="657" t="s">
        <v>247</v>
      </c>
      <c r="H82" s="640"/>
      <c r="I82" s="640"/>
      <c r="J82" s="640"/>
      <c r="K82" s="640"/>
      <c r="L82" s="641">
        <v>3</v>
      </c>
      <c r="M82" s="642"/>
    </row>
    <row r="83" spans="2:15" ht="18.75" customHeight="1" x14ac:dyDescent="0.25">
      <c r="D83" s="635" t="s">
        <v>232</v>
      </c>
      <c r="E83" s="636"/>
      <c r="F83" s="645"/>
      <c r="G83" s="663" t="s">
        <v>253</v>
      </c>
      <c r="H83" s="664"/>
      <c r="I83" s="664"/>
      <c r="J83" s="664"/>
      <c r="K83" s="664"/>
      <c r="L83" s="658">
        <v>4</v>
      </c>
      <c r="M83" s="659"/>
    </row>
    <row r="84" spans="2:15" ht="18.75" customHeight="1" x14ac:dyDescent="0.25">
      <c r="D84" s="637"/>
      <c r="E84" s="638"/>
      <c r="F84" s="646"/>
      <c r="G84" s="653" t="s">
        <v>251</v>
      </c>
      <c r="H84" s="654"/>
      <c r="I84" s="654"/>
      <c r="J84" s="654"/>
      <c r="K84" s="654"/>
      <c r="L84" s="655">
        <v>2</v>
      </c>
      <c r="M84" s="656"/>
    </row>
    <row r="85" spans="2:15" ht="18.75" customHeight="1" x14ac:dyDescent="0.25">
      <c r="D85" s="637"/>
      <c r="E85" s="638"/>
      <c r="F85" s="646"/>
      <c r="G85" s="653" t="s">
        <v>245</v>
      </c>
      <c r="H85" s="654"/>
      <c r="I85" s="654"/>
      <c r="J85" s="654"/>
      <c r="K85" s="654"/>
      <c r="L85" s="655">
        <v>2</v>
      </c>
      <c r="M85" s="656"/>
    </row>
    <row r="86" spans="2:15" ht="18.75" customHeight="1" thickBot="1" x14ac:dyDescent="0.3">
      <c r="D86" s="647"/>
      <c r="E86" s="648"/>
      <c r="F86" s="649"/>
      <c r="G86" s="657" t="s">
        <v>250</v>
      </c>
      <c r="H86" s="640"/>
      <c r="I86" s="640"/>
      <c r="J86" s="640"/>
      <c r="K86" s="640"/>
      <c r="L86" s="641">
        <v>2</v>
      </c>
      <c r="M86" s="642"/>
    </row>
    <row r="87" spans="2:15" ht="18.75" customHeight="1" x14ac:dyDescent="0.25">
      <c r="D87" s="635" t="s">
        <v>233</v>
      </c>
      <c r="E87" s="636"/>
      <c r="F87" s="645"/>
      <c r="G87" s="669" t="s">
        <v>248</v>
      </c>
      <c r="H87" s="670"/>
      <c r="I87" s="670"/>
      <c r="J87" s="670"/>
      <c r="K87" s="670"/>
      <c r="L87" s="671">
        <v>4</v>
      </c>
      <c r="M87" s="672"/>
    </row>
    <row r="88" spans="2:15" ht="18.75" customHeight="1" x14ac:dyDescent="0.25">
      <c r="D88" s="637"/>
      <c r="E88" s="638"/>
      <c r="F88" s="646"/>
      <c r="G88" s="673" t="s">
        <v>249</v>
      </c>
      <c r="H88" s="654"/>
      <c r="I88" s="654"/>
      <c r="J88" s="654"/>
      <c r="K88" s="654"/>
      <c r="L88" s="655">
        <v>3</v>
      </c>
      <c r="M88" s="656"/>
    </row>
    <row r="89" spans="2:15" ht="18.75" customHeight="1" thickBot="1" x14ac:dyDescent="0.3">
      <c r="D89" s="647"/>
      <c r="E89" s="648"/>
      <c r="F89" s="649"/>
      <c r="G89" s="639" t="s">
        <v>252</v>
      </c>
      <c r="H89" s="640"/>
      <c r="I89" s="640"/>
      <c r="J89" s="640"/>
      <c r="K89" s="640"/>
      <c r="L89" s="641">
        <v>3</v>
      </c>
      <c r="M89" s="642"/>
    </row>
    <row r="91" spans="2:15" x14ac:dyDescent="0.25">
      <c r="B91" s="643" t="s">
        <v>254</v>
      </c>
      <c r="C91" s="643"/>
      <c r="D91" s="643"/>
      <c r="E91" s="643"/>
      <c r="F91" s="643"/>
      <c r="G91" s="643"/>
      <c r="H91" s="644" t="s">
        <v>255</v>
      </c>
      <c r="I91" s="644"/>
      <c r="J91" s="644"/>
      <c r="K91" s="644"/>
      <c r="L91" s="183"/>
      <c r="M91" s="183"/>
      <c r="N91" s="183"/>
      <c r="O91" s="183"/>
    </row>
    <row r="92" spans="2:15" x14ac:dyDescent="0.25">
      <c r="B92" s="613" t="s">
        <v>256</v>
      </c>
      <c r="C92" s="613"/>
      <c r="D92" s="613"/>
      <c r="E92" s="613"/>
      <c r="F92" s="613"/>
      <c r="G92" s="613"/>
      <c r="H92" s="613"/>
      <c r="I92" s="613"/>
      <c r="J92" s="613"/>
      <c r="K92" s="613"/>
      <c r="L92" s="613"/>
      <c r="M92" s="613"/>
      <c r="N92" s="613"/>
      <c r="O92" s="613"/>
    </row>
    <row r="94" spans="2:15" ht="26.25" x14ac:dyDescent="0.4">
      <c r="B94" s="599" t="s">
        <v>258</v>
      </c>
      <c r="C94" s="599"/>
      <c r="D94" s="599"/>
      <c r="E94" s="599"/>
      <c r="F94" s="599"/>
      <c r="G94" s="599"/>
      <c r="H94" s="599"/>
    </row>
    <row r="95" spans="2:15" ht="6" customHeight="1" x14ac:dyDescent="0.25"/>
    <row r="96" spans="2:15" ht="33.75" customHeight="1" x14ac:dyDescent="0.25">
      <c r="B96" s="613" t="s">
        <v>259</v>
      </c>
      <c r="C96" s="613"/>
      <c r="D96" s="613"/>
      <c r="E96" s="613"/>
      <c r="F96" s="613"/>
      <c r="G96" s="613"/>
      <c r="H96" s="613"/>
      <c r="I96" s="613"/>
      <c r="J96" s="613"/>
      <c r="K96" s="613"/>
      <c r="L96" s="613"/>
      <c r="M96" s="613"/>
      <c r="N96" s="613"/>
      <c r="O96" s="613"/>
    </row>
    <row r="97" spans="2:15" x14ac:dyDescent="0.25">
      <c r="B97" s="613" t="s">
        <v>260</v>
      </c>
      <c r="C97" s="613"/>
      <c r="D97" s="613"/>
      <c r="E97" s="613"/>
      <c r="F97" s="613"/>
      <c r="G97" s="613"/>
      <c r="H97" s="613"/>
      <c r="I97" s="613"/>
      <c r="J97" s="613"/>
      <c r="K97" s="613"/>
      <c r="L97" s="613"/>
      <c r="M97" s="613"/>
      <c r="N97" s="613"/>
      <c r="O97" s="613"/>
    </row>
    <row r="98" spans="2:15" ht="15.75" thickBot="1" x14ac:dyDescent="0.3"/>
    <row r="99" spans="2:15" ht="26.25" customHeight="1" thickBot="1" x14ac:dyDescent="0.3">
      <c r="C99" s="632" t="s">
        <v>141</v>
      </c>
      <c r="D99" s="634"/>
      <c r="E99" s="632" t="s">
        <v>142</v>
      </c>
      <c r="F99" s="633"/>
      <c r="G99" s="633"/>
      <c r="H99" s="633"/>
      <c r="I99" s="633"/>
      <c r="J99" s="633"/>
      <c r="K99" s="634"/>
      <c r="L99" s="632" t="s">
        <v>143</v>
      </c>
      <c r="M99" s="633"/>
      <c r="N99" s="634"/>
    </row>
    <row r="100" spans="2:15" ht="97.5" customHeight="1" x14ac:dyDescent="0.25">
      <c r="C100" s="635" t="s">
        <v>261</v>
      </c>
      <c r="D100" s="636"/>
      <c r="E100" s="660" t="s">
        <v>265</v>
      </c>
      <c r="F100" s="661"/>
      <c r="G100" s="661"/>
      <c r="H100" s="661"/>
      <c r="I100" s="661"/>
      <c r="J100" s="661"/>
      <c r="K100" s="661"/>
      <c r="L100" s="660" t="s">
        <v>271</v>
      </c>
      <c r="M100" s="661"/>
      <c r="N100" s="662"/>
    </row>
    <row r="101" spans="2:15" ht="67.5" customHeight="1" x14ac:dyDescent="0.25">
      <c r="C101" s="637" t="s">
        <v>262</v>
      </c>
      <c r="D101" s="638"/>
      <c r="E101" s="650" t="s">
        <v>268</v>
      </c>
      <c r="F101" s="651"/>
      <c r="G101" s="651"/>
      <c r="H101" s="651"/>
      <c r="I101" s="651"/>
      <c r="J101" s="651"/>
      <c r="K101" s="651"/>
      <c r="L101" s="650" t="s">
        <v>272</v>
      </c>
      <c r="M101" s="651"/>
      <c r="N101" s="652"/>
    </row>
    <row r="102" spans="2:15" ht="67.5" customHeight="1" x14ac:dyDescent="0.25">
      <c r="C102" s="637" t="s">
        <v>263</v>
      </c>
      <c r="D102" s="638"/>
      <c r="E102" s="650" t="s">
        <v>264</v>
      </c>
      <c r="F102" s="651"/>
      <c r="G102" s="651"/>
      <c r="H102" s="651"/>
      <c r="I102" s="651"/>
      <c r="J102" s="651"/>
      <c r="K102" s="651"/>
      <c r="L102" s="650" t="s">
        <v>273</v>
      </c>
      <c r="M102" s="651"/>
      <c r="N102" s="652"/>
    </row>
    <row r="103" spans="2:15" ht="97.5" customHeight="1" x14ac:dyDescent="0.25">
      <c r="C103" s="637" t="s">
        <v>266</v>
      </c>
      <c r="D103" s="638"/>
      <c r="E103" s="650" t="s">
        <v>269</v>
      </c>
      <c r="F103" s="651"/>
      <c r="G103" s="651"/>
      <c r="H103" s="651"/>
      <c r="I103" s="651"/>
      <c r="J103" s="651"/>
      <c r="K103" s="651"/>
      <c r="L103" s="650" t="s">
        <v>274</v>
      </c>
      <c r="M103" s="651"/>
      <c r="N103" s="652"/>
    </row>
    <row r="104" spans="2:15" ht="82.5" customHeight="1" thickBot="1" x14ac:dyDescent="0.3">
      <c r="C104" s="647" t="s">
        <v>267</v>
      </c>
      <c r="D104" s="648"/>
      <c r="E104" s="666" t="s">
        <v>270</v>
      </c>
      <c r="F104" s="667"/>
      <c r="G104" s="667"/>
      <c r="H104" s="667"/>
      <c r="I104" s="667"/>
      <c r="J104" s="667"/>
      <c r="K104" s="667"/>
      <c r="L104" s="666" t="s">
        <v>275</v>
      </c>
      <c r="M104" s="667"/>
      <c r="N104" s="668"/>
    </row>
    <row r="105" spans="2:15" x14ac:dyDescent="0.25">
      <c r="E105" s="665"/>
      <c r="F105" s="665"/>
      <c r="G105" s="665"/>
      <c r="H105" s="665"/>
      <c r="I105" s="665"/>
      <c r="J105" s="665"/>
      <c r="K105" s="665"/>
      <c r="L105" s="665"/>
      <c r="M105" s="665"/>
      <c r="N105" s="665"/>
    </row>
    <row r="106" spans="2:15" x14ac:dyDescent="0.25">
      <c r="E106" s="665"/>
      <c r="F106" s="665"/>
      <c r="G106" s="665"/>
      <c r="H106" s="665"/>
      <c r="I106" s="665"/>
      <c r="J106" s="665"/>
      <c r="K106" s="665"/>
      <c r="L106" s="665"/>
      <c r="M106" s="665"/>
      <c r="N106" s="665"/>
    </row>
    <row r="107" spans="2:15" x14ac:dyDescent="0.25">
      <c r="E107" s="665"/>
      <c r="F107" s="665"/>
      <c r="G107" s="665"/>
      <c r="H107" s="665"/>
      <c r="I107" s="665"/>
      <c r="J107" s="665"/>
      <c r="K107" s="665"/>
      <c r="L107" s="665"/>
      <c r="M107" s="665"/>
      <c r="N107" s="665"/>
    </row>
    <row r="108" spans="2:15" x14ac:dyDescent="0.25">
      <c r="E108" s="665"/>
      <c r="F108" s="665"/>
      <c r="G108" s="665"/>
      <c r="H108" s="665"/>
      <c r="I108" s="665"/>
      <c r="J108" s="665"/>
      <c r="K108" s="665"/>
      <c r="L108" s="665"/>
      <c r="M108" s="665"/>
      <c r="N108" s="665"/>
    </row>
    <row r="109" spans="2:15" x14ac:dyDescent="0.25">
      <c r="E109" s="665"/>
      <c r="F109" s="665"/>
      <c r="G109" s="665"/>
      <c r="H109" s="665"/>
      <c r="I109" s="665"/>
      <c r="J109" s="665"/>
      <c r="K109" s="665"/>
      <c r="L109" s="665"/>
      <c r="M109" s="665"/>
      <c r="N109" s="665"/>
    </row>
    <row r="110" spans="2:15" x14ac:dyDescent="0.25">
      <c r="E110" s="665"/>
      <c r="F110" s="665"/>
      <c r="G110" s="665"/>
      <c r="H110" s="665"/>
      <c r="I110" s="665"/>
      <c r="J110" s="665"/>
      <c r="K110" s="665"/>
      <c r="L110" s="665"/>
      <c r="M110" s="665"/>
      <c r="N110" s="665"/>
    </row>
    <row r="111" spans="2:15" x14ac:dyDescent="0.25">
      <c r="E111" s="665"/>
      <c r="F111" s="665"/>
      <c r="G111" s="665"/>
      <c r="H111" s="665"/>
      <c r="I111" s="665"/>
      <c r="J111" s="665"/>
      <c r="K111" s="665"/>
      <c r="L111" s="665"/>
      <c r="M111" s="665"/>
      <c r="N111" s="665"/>
    </row>
    <row r="112" spans="2:15" x14ac:dyDescent="0.25">
      <c r="E112" s="665"/>
      <c r="F112" s="665"/>
      <c r="G112" s="665"/>
      <c r="H112" s="665"/>
      <c r="I112" s="665"/>
      <c r="J112" s="665"/>
      <c r="K112" s="665"/>
      <c r="L112" s="665"/>
      <c r="M112" s="665"/>
      <c r="N112" s="665"/>
    </row>
    <row r="113" spans="5:14" x14ac:dyDescent="0.25">
      <c r="E113" s="665"/>
      <c r="F113" s="665"/>
      <c r="G113" s="665"/>
      <c r="H113" s="665"/>
      <c r="I113" s="665"/>
      <c r="J113" s="665"/>
      <c r="K113" s="665"/>
      <c r="L113" s="665"/>
      <c r="M113" s="665"/>
      <c r="N113" s="665"/>
    </row>
    <row r="114" spans="5:14" x14ac:dyDescent="0.25">
      <c r="E114" s="665"/>
      <c r="F114" s="665"/>
      <c r="G114" s="665"/>
      <c r="H114" s="665"/>
      <c r="I114" s="665"/>
      <c r="J114" s="665"/>
      <c r="K114" s="665"/>
      <c r="L114" s="665"/>
      <c r="M114" s="665"/>
      <c r="N114" s="665"/>
    </row>
    <row r="115" spans="5:14" x14ac:dyDescent="0.25">
      <c r="E115" s="665"/>
      <c r="F115" s="665"/>
      <c r="G115" s="665"/>
      <c r="H115" s="665"/>
      <c r="I115" s="665"/>
      <c r="J115" s="665"/>
      <c r="K115" s="665"/>
      <c r="L115" s="665"/>
      <c r="M115" s="665"/>
      <c r="N115" s="665"/>
    </row>
  </sheetData>
  <sheetProtection sheet="1" objects="1" scenarios="1"/>
  <protectedRanges>
    <protectedRange sqref="B16 B20 B24 B31 B35" name="Oblast2"/>
    <protectedRange sqref="D5:H8 D9 L5:O7" name="Oblast1"/>
  </protectedRanges>
  <mergeCells count="153">
    <mergeCell ref="E114:K114"/>
    <mergeCell ref="L114:N114"/>
    <mergeCell ref="E115:K115"/>
    <mergeCell ref="L115:N115"/>
    <mergeCell ref="C102:D102"/>
    <mergeCell ref="C103:D103"/>
    <mergeCell ref="C104:D104"/>
    <mergeCell ref="E111:K111"/>
    <mergeCell ref="L111:N111"/>
    <mergeCell ref="E112:K112"/>
    <mergeCell ref="L112:N112"/>
    <mergeCell ref="E113:K113"/>
    <mergeCell ref="L113:N113"/>
    <mergeCell ref="E108:K108"/>
    <mergeCell ref="L108:N108"/>
    <mergeCell ref="E109:K109"/>
    <mergeCell ref="L109:N109"/>
    <mergeCell ref="E110:K110"/>
    <mergeCell ref="L110:N110"/>
    <mergeCell ref="E105:K105"/>
    <mergeCell ref="G81:K81"/>
    <mergeCell ref="L81:M81"/>
    <mergeCell ref="G82:K82"/>
    <mergeCell ref="L82:M82"/>
    <mergeCell ref="G83:K83"/>
    <mergeCell ref="L105:N105"/>
    <mergeCell ref="E106:K106"/>
    <mergeCell ref="L106:N106"/>
    <mergeCell ref="E107:K107"/>
    <mergeCell ref="L107:N107"/>
    <mergeCell ref="E102:K102"/>
    <mergeCell ref="L102:N102"/>
    <mergeCell ref="E103:K103"/>
    <mergeCell ref="L103:N103"/>
    <mergeCell ref="E104:K104"/>
    <mergeCell ref="L104:N104"/>
    <mergeCell ref="B97:O97"/>
    <mergeCell ref="C99:D99"/>
    <mergeCell ref="E99:K99"/>
    <mergeCell ref="L99:N99"/>
    <mergeCell ref="G87:K87"/>
    <mergeCell ref="L87:M87"/>
    <mergeCell ref="G88:K88"/>
    <mergeCell ref="L88:M88"/>
    <mergeCell ref="G84:K84"/>
    <mergeCell ref="L84:M84"/>
    <mergeCell ref="G85:K85"/>
    <mergeCell ref="L85:M85"/>
    <mergeCell ref="G86:K86"/>
    <mergeCell ref="L86:M86"/>
    <mergeCell ref="L83:M83"/>
    <mergeCell ref="G78:K78"/>
    <mergeCell ref="L100:N100"/>
    <mergeCell ref="E100:K100"/>
    <mergeCell ref="L78:M78"/>
    <mergeCell ref="G79:K79"/>
    <mergeCell ref="L79:M79"/>
    <mergeCell ref="G80:K80"/>
    <mergeCell ref="L80:M80"/>
    <mergeCell ref="D83:F86"/>
    <mergeCell ref="D79:F82"/>
    <mergeCell ref="D75:F78"/>
    <mergeCell ref="L75:M75"/>
    <mergeCell ref="G75:K75"/>
    <mergeCell ref="G76:K76"/>
    <mergeCell ref="L76:M76"/>
    <mergeCell ref="G77:K77"/>
    <mergeCell ref="L77:M77"/>
    <mergeCell ref="C100:D100"/>
    <mergeCell ref="C101:D101"/>
    <mergeCell ref="G89:K89"/>
    <mergeCell ref="L89:M89"/>
    <mergeCell ref="B92:O92"/>
    <mergeCell ref="B91:G91"/>
    <mergeCell ref="H91:K91"/>
    <mergeCell ref="B96:O96"/>
    <mergeCell ref="B94:H94"/>
    <mergeCell ref="D87:F89"/>
    <mergeCell ref="E101:K101"/>
    <mergeCell ref="L101:N101"/>
    <mergeCell ref="C68:D68"/>
    <mergeCell ref="E68:N68"/>
    <mergeCell ref="B70:H70"/>
    <mergeCell ref="B72:O72"/>
    <mergeCell ref="G74:K74"/>
    <mergeCell ref="L74:M74"/>
    <mergeCell ref="C66:D66"/>
    <mergeCell ref="E66:N66"/>
    <mergeCell ref="C67:D67"/>
    <mergeCell ref="E67:N67"/>
    <mergeCell ref="D74:F74"/>
    <mergeCell ref="B60:H60"/>
    <mergeCell ref="B62:O62"/>
    <mergeCell ref="C64:D64"/>
    <mergeCell ref="E64:N64"/>
    <mergeCell ref="C65:D65"/>
    <mergeCell ref="E65:N65"/>
    <mergeCell ref="C58:D58"/>
    <mergeCell ref="C57:D57"/>
    <mergeCell ref="C56:D56"/>
    <mergeCell ref="C55:D55"/>
    <mergeCell ref="C54:D54"/>
    <mergeCell ref="E58:N58"/>
    <mergeCell ref="E57:N57"/>
    <mergeCell ref="E56:N56"/>
    <mergeCell ref="E55:N55"/>
    <mergeCell ref="E54:N54"/>
    <mergeCell ref="B45:O45"/>
    <mergeCell ref="B46:O46"/>
    <mergeCell ref="B48:H48"/>
    <mergeCell ref="B50:O50"/>
    <mergeCell ref="B51:O51"/>
    <mergeCell ref="C53:D53"/>
    <mergeCell ref="E53:N53"/>
    <mergeCell ref="B39:H39"/>
    <mergeCell ref="B41:O41"/>
    <mergeCell ref="B43:H43"/>
    <mergeCell ref="B35:O35"/>
    <mergeCell ref="B20:O20"/>
    <mergeCell ref="B22:I22"/>
    <mergeCell ref="B24:O24"/>
    <mergeCell ref="B26:I26"/>
    <mergeCell ref="B29:I29"/>
    <mergeCell ref="B31:O31"/>
    <mergeCell ref="B33:I33"/>
    <mergeCell ref="B2:O2"/>
    <mergeCell ref="B8:C8"/>
    <mergeCell ref="B7:C7"/>
    <mergeCell ref="B6:C6"/>
    <mergeCell ref="B5:C5"/>
    <mergeCell ref="B14:I14"/>
    <mergeCell ref="B4:H4"/>
    <mergeCell ref="D5:H5"/>
    <mergeCell ref="D6:H6"/>
    <mergeCell ref="D7:H7"/>
    <mergeCell ref="B12:H12"/>
    <mergeCell ref="D8:H8"/>
    <mergeCell ref="J5:K5"/>
    <mergeCell ref="J6:K6"/>
    <mergeCell ref="J7:K7"/>
    <mergeCell ref="J8:K8"/>
    <mergeCell ref="B16:O16"/>
    <mergeCell ref="B18:I18"/>
    <mergeCell ref="J9:K9"/>
    <mergeCell ref="J4:O4"/>
    <mergeCell ref="L9:O9"/>
    <mergeCell ref="L8:O8"/>
    <mergeCell ref="L7:O7"/>
    <mergeCell ref="L6:O6"/>
    <mergeCell ref="L5:O5"/>
    <mergeCell ref="D9:E9"/>
    <mergeCell ref="F9:H9"/>
    <mergeCell ref="B9:C9"/>
  </mergeCells>
  <hyperlinks>
    <hyperlink ref="H91:K91" r:id="rId1" display="Categories Maturity Evaluation" xr:uid="{2A3F0CFB-D07F-4A16-903E-2B8EE0694D2B}"/>
  </hyperlinks>
  <pageMargins left="0.7" right="0.7" top="0.78740157499999996" bottom="0.78740157499999996"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54FC0FB-B694-425D-A14A-FE84E694E63C}">
          <x14:formula1>
            <xm:f>tech!$A$229:$A$230</xm:f>
          </x14:formula1>
          <xm:sqref>L5:O5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F678-0BAB-4410-BFF8-8D3BE1E9F623}">
  <dimension ref="B1:L95"/>
  <sheetViews>
    <sheetView showGridLines="0" zoomScale="80" zoomScaleNormal="80" workbookViewId="0">
      <pane ySplit="6" topLeftCell="A7" activePane="bottomLeft" state="frozen"/>
      <selection pane="bottomLeft" activeCell="F10" sqref="F10:F15"/>
    </sheetView>
  </sheetViews>
  <sheetFormatPr defaultColWidth="8.85546875" defaultRowHeight="15" x14ac:dyDescent="0.25"/>
  <cols>
    <col min="1" max="1" width="2.85546875" customWidth="1"/>
    <col min="2" max="2" width="22.85546875" customWidth="1"/>
    <col min="3" max="3" width="34.140625" customWidth="1"/>
    <col min="4" max="4" width="51.42578125" customWidth="1"/>
    <col min="5" max="5" width="37.140625" hidden="1" customWidth="1"/>
    <col min="7" max="7" width="12" bestFit="1" customWidth="1"/>
    <col min="8" max="8" width="9.28515625" hidden="1" customWidth="1"/>
    <col min="9" max="9" width="5.7109375" bestFit="1" customWidth="1"/>
    <col min="10" max="10" width="85.7109375" bestFit="1" customWidth="1"/>
    <col min="11" max="11" width="9.140625" customWidth="1"/>
    <col min="12" max="12" width="35.7109375" customWidth="1"/>
  </cols>
  <sheetData>
    <row r="1" spans="2:12" ht="15.75" thickBot="1" x14ac:dyDescent="0.3"/>
    <row r="2" spans="2:12" x14ac:dyDescent="0.25">
      <c r="B2" s="727" t="s">
        <v>153</v>
      </c>
      <c r="C2" s="728"/>
      <c r="D2" s="733" t="str">
        <f>Overview!D5</f>
        <v>Cool PKI</v>
      </c>
      <c r="E2" s="733"/>
      <c r="F2" s="146"/>
      <c r="G2" s="146"/>
      <c r="H2" s="146"/>
      <c r="I2" s="146"/>
      <c r="J2" s="146"/>
      <c r="K2" s="146"/>
      <c r="L2" s="147"/>
    </row>
    <row r="3" spans="2:12" x14ac:dyDescent="0.25">
      <c r="B3" s="729"/>
      <c r="C3" s="730"/>
      <c r="D3" s="734"/>
      <c r="E3" s="734"/>
      <c r="F3" s="144"/>
      <c r="G3" s="144"/>
      <c r="H3" s="144"/>
      <c r="I3" s="144"/>
      <c r="J3" s="735" t="str">
        <f ca="1">_xlfn.CONCAT("Duration of the assessment: ",TODAY()-Overview!D7," days     ")</f>
        <v xml:space="preserve">Duration of the assessment: 321 days     </v>
      </c>
      <c r="K3" s="735"/>
      <c r="L3" s="736"/>
    </row>
    <row r="4" spans="2:12" x14ac:dyDescent="0.25">
      <c r="B4" s="729"/>
      <c r="C4" s="730"/>
      <c r="D4" s="734"/>
      <c r="E4" s="734"/>
      <c r="F4" s="144"/>
      <c r="G4" s="144"/>
      <c r="H4" s="144"/>
      <c r="I4" s="144"/>
      <c r="J4" s="735" t="str">
        <f ca="1">IF(Overview!D9&lt;&gt;"","The assessment has been finished     ",IF(Overview!D8&gt;=TODAY(),_xlfn.CONCAT("Remaining time to the target date: ",Overview!D8-TODAY()," days     "),_xlfn.CONCAT("Overrunning the target date by: ",TODAY()-Overview!D8," days     ")))</f>
        <v xml:space="preserve">The assessment has been finished     </v>
      </c>
      <c r="K4" s="735"/>
      <c r="L4" s="736"/>
    </row>
    <row r="5" spans="2:12" ht="15.75" thickBot="1" x14ac:dyDescent="0.3">
      <c r="B5" s="731"/>
      <c r="C5" s="732"/>
      <c r="D5" s="148"/>
      <c r="E5" s="149" t="str">
        <f>Overview!D6</f>
        <v>3Key Company</v>
      </c>
      <c r="F5" s="148"/>
      <c r="G5" s="148"/>
      <c r="H5" s="148"/>
      <c r="I5" s="148"/>
      <c r="J5" s="737" t="str">
        <f>_xlfn.CONCAT("Name of responsible assessor: ",Overview!L7,"     ")</f>
        <v xml:space="preserve">Name of responsible assessor: Franta Hrábě     </v>
      </c>
      <c r="K5" s="737"/>
      <c r="L5" s="738"/>
    </row>
    <row r="7" spans="2:12" ht="15.75" thickBot="1" x14ac:dyDescent="0.3"/>
    <row r="8" spans="2:12" ht="19.5" thickBot="1" x14ac:dyDescent="0.35">
      <c r="C8" s="677" t="s">
        <v>150</v>
      </c>
      <c r="D8" s="678"/>
      <c r="E8" s="678"/>
      <c r="F8" s="678"/>
      <c r="G8" s="679"/>
      <c r="I8" s="677" t="s">
        <v>148</v>
      </c>
      <c r="J8" s="678"/>
      <c r="K8" s="679"/>
    </row>
    <row r="9" spans="2:12" ht="16.5" thickBot="1" x14ac:dyDescent="0.3">
      <c r="B9" s="82" t="s">
        <v>2</v>
      </c>
      <c r="C9" s="97" t="s">
        <v>0</v>
      </c>
      <c r="D9" s="98" t="s">
        <v>42</v>
      </c>
      <c r="E9" s="96" t="s">
        <v>43</v>
      </c>
      <c r="F9" s="99" t="s">
        <v>3</v>
      </c>
      <c r="G9" s="95" t="s">
        <v>146</v>
      </c>
      <c r="H9" s="95"/>
      <c r="I9" s="99" t="s">
        <v>10</v>
      </c>
      <c r="J9" s="95" t="s">
        <v>148</v>
      </c>
      <c r="K9" s="95" t="s">
        <v>3</v>
      </c>
      <c r="L9" s="132" t="s">
        <v>147</v>
      </c>
    </row>
    <row r="10" spans="2:12" ht="22.5" customHeight="1" x14ac:dyDescent="0.25">
      <c r="B10" s="746" t="str">
        <f>Assessment!C8</f>
        <v>1. Governance</v>
      </c>
      <c r="C10" s="744" t="str">
        <f>Assessment!C12</f>
        <v>1.1. Strategy and vision</v>
      </c>
      <c r="D10" s="741" t="str">
        <f>VLOOKUP(LEFT(C10,4),source!$CV$4:$CW$23,2,0)</f>
        <v>Responsible for the PKI management and strategy. Includes alignment with organizational goals and requirements, risk management, and policy decisions.</v>
      </c>
      <c r="E10" s="739" t="s">
        <v>1435</v>
      </c>
      <c r="F10" s="698" t="s">
        <v>4</v>
      </c>
      <c r="G10" s="674" t="str">
        <f>IF(F10=tech!$A$5,tech!$A$9,IF(COUNTIF(H10:H15,0)&gt;0,tech!$A$10,tech!$A$8))</f>
        <v>Applicable</v>
      </c>
      <c r="H10" s="92">
        <f>IF(OR(F$10=tech!$A$5,K10=tech!$A$5),0,1)</f>
        <v>1</v>
      </c>
      <c r="I10" s="100" t="str">
        <f>Assessment!C16</f>
        <v>1.1.1.</v>
      </c>
      <c r="J10" s="107" t="str">
        <f>Assessment!D16</f>
        <v>Organizational sponsor and support</v>
      </c>
      <c r="K10" s="74" t="s">
        <v>4</v>
      </c>
      <c r="L10" s="701"/>
    </row>
    <row r="11" spans="2:12" ht="22.5" customHeight="1" x14ac:dyDescent="0.25">
      <c r="B11" s="747"/>
      <c r="C11" s="745"/>
      <c r="D11" s="742"/>
      <c r="E11" s="740"/>
      <c r="F11" s="699"/>
      <c r="G11" s="675"/>
      <c r="H11" s="93">
        <f>IF(OR(F$10=tech!$A$5,K11=tech!$A$5),0,1)</f>
        <v>1</v>
      </c>
      <c r="I11" s="101" t="str">
        <f>Assessment!C17</f>
        <v>1.1.2.</v>
      </c>
      <c r="J11" s="108" t="str">
        <f>Assessment!D17</f>
        <v>Formal assignment of responsible leadership</v>
      </c>
      <c r="K11" s="75" t="s">
        <v>4</v>
      </c>
      <c r="L11" s="702"/>
    </row>
    <row r="12" spans="2:12" ht="22.5" customHeight="1" x14ac:dyDescent="0.25">
      <c r="B12" s="747"/>
      <c r="C12" s="745"/>
      <c r="D12" s="742"/>
      <c r="E12" s="740"/>
      <c r="F12" s="699"/>
      <c r="G12" s="675"/>
      <c r="H12" s="93">
        <f>IF(OR(F$10=tech!$A$5,K12=tech!$A$5),0,1)</f>
        <v>1</v>
      </c>
      <c r="I12" s="101" t="str">
        <f>Assessment!C18</f>
        <v>1.1.3.</v>
      </c>
      <c r="J12" s="108" t="str">
        <f>Assessment!D18</f>
        <v>Scope and business drivers for PKI</v>
      </c>
      <c r="K12" s="75" t="s">
        <v>4</v>
      </c>
      <c r="L12" s="702"/>
    </row>
    <row r="13" spans="2:12" ht="22.5" customHeight="1" thickBot="1" x14ac:dyDescent="0.3">
      <c r="B13" s="747"/>
      <c r="C13" s="745"/>
      <c r="D13" s="742"/>
      <c r="E13" s="740"/>
      <c r="F13" s="699"/>
      <c r="G13" s="675"/>
      <c r="H13" s="93">
        <f>IF(OR(F$10=tech!$A$5,K13=tech!$A$5),0,1)</f>
        <v>1</v>
      </c>
      <c r="I13" s="101" t="str">
        <f>Assessment!C19</f>
        <v>1.1.4.</v>
      </c>
      <c r="J13" s="108" t="str">
        <f>Assessment!D19</f>
        <v>Architecture and design of the PKI</v>
      </c>
      <c r="K13" s="75" t="s">
        <v>4</v>
      </c>
      <c r="L13" s="702"/>
    </row>
    <row r="14" spans="2:12" ht="15" hidden="1" customHeight="1" x14ac:dyDescent="0.25">
      <c r="B14" s="747"/>
      <c r="C14" s="745"/>
      <c r="D14" s="742"/>
      <c r="E14" s="740"/>
      <c r="F14" s="699"/>
      <c r="G14" s="675"/>
      <c r="H14" s="93">
        <f>IF(OR(F$10=tech!$A$5,K14=tech!$A$5),0,1)</f>
        <v>1</v>
      </c>
      <c r="I14" s="101" t="str">
        <f>Assessment!C20</f>
        <v>1.1.5.</v>
      </c>
      <c r="J14" s="108" t="str">
        <f>Assessment!D20</f>
        <v/>
      </c>
      <c r="K14" s="75" t="s">
        <v>4</v>
      </c>
      <c r="L14" s="702"/>
    </row>
    <row r="15" spans="2:12" ht="15" hidden="1" customHeight="1" thickBot="1" x14ac:dyDescent="0.3">
      <c r="B15" s="747"/>
      <c r="C15" s="750"/>
      <c r="D15" s="743"/>
      <c r="E15" s="749"/>
      <c r="F15" s="700"/>
      <c r="G15" s="676"/>
      <c r="H15" s="94">
        <f>IF(OR(F$10=tech!$A$5,K15=tech!$A$5),0,1)</f>
        <v>1</v>
      </c>
      <c r="I15" s="102" t="str">
        <f>Assessment!C21</f>
        <v>1.1.6.</v>
      </c>
      <c r="J15" s="109" t="str">
        <f>Assessment!D21</f>
        <v/>
      </c>
      <c r="K15" s="76" t="s">
        <v>4</v>
      </c>
      <c r="L15" s="703"/>
    </row>
    <row r="16" spans="2:12" ht="18" customHeight="1" x14ac:dyDescent="0.25">
      <c r="B16" s="747"/>
      <c r="C16" s="744" t="str">
        <f>Assessment!C23</f>
        <v>1.2. Policies and documentation</v>
      </c>
      <c r="D16" s="741" t="str">
        <f>VLOOKUP(LEFT(C16,4),source!$CV$4:$CW$23,2,0)</f>
        <v>Formal policies and practice statements for supported PKI services and use-cases. Formal management of agreements between parties involved in the PKI.</v>
      </c>
      <c r="E16" s="739" t="s">
        <v>1436</v>
      </c>
      <c r="F16" s="698" t="s">
        <v>4</v>
      </c>
      <c r="G16" s="674" t="str">
        <f>IF(F16=tech!$A$5,tech!$A$9,IF(COUNTIF(H16:H21,0)&gt;0,tech!$A$10,tech!$A$8))</f>
        <v>Applicable</v>
      </c>
      <c r="H16" s="92">
        <f>IF(OR(F$16=tech!$A$5,K16=tech!$A$5),0,1)</f>
        <v>1</v>
      </c>
      <c r="I16" s="100" t="str">
        <f>Assessment!C27</f>
        <v>1.2.1.</v>
      </c>
      <c r="J16" s="107" t="str">
        <f>Assessment!D27</f>
        <v>The scope of policies is defined and documented</v>
      </c>
      <c r="K16" s="74" t="s">
        <v>4</v>
      </c>
      <c r="L16" s="701"/>
    </row>
    <row r="17" spans="2:12" ht="18" customHeight="1" x14ac:dyDescent="0.25">
      <c r="B17" s="747"/>
      <c r="C17" s="745"/>
      <c r="D17" s="742"/>
      <c r="E17" s="740"/>
      <c r="F17" s="699"/>
      <c r="G17" s="675"/>
      <c r="H17" s="93">
        <f>IF(OR(F$16=tech!$A$5,K17=tech!$A$5),0,1)</f>
        <v>1</v>
      </c>
      <c r="I17" s="101" t="str">
        <f>Assessment!C28</f>
        <v>1.2.2.</v>
      </c>
      <c r="J17" s="108" t="str">
        <f>Assessment!D28</f>
        <v>Certificate Policy is documented and published</v>
      </c>
      <c r="K17" s="75" t="s">
        <v>4</v>
      </c>
      <c r="L17" s="702"/>
    </row>
    <row r="18" spans="2:12" ht="18" customHeight="1" x14ac:dyDescent="0.25">
      <c r="B18" s="747"/>
      <c r="C18" s="745"/>
      <c r="D18" s="742"/>
      <c r="E18" s="740"/>
      <c r="F18" s="699"/>
      <c r="G18" s="675"/>
      <c r="H18" s="93">
        <f>IF(OR(F$16=tech!$A$5,K18=tech!$A$5),0,1)</f>
        <v>1</v>
      </c>
      <c r="I18" s="101" t="str">
        <f>Assessment!C29</f>
        <v>1.2.3.</v>
      </c>
      <c r="J18" s="108" t="str">
        <f>Assessment!D29</f>
        <v>Certification Practice Statement is documented and published</v>
      </c>
      <c r="K18" s="75" t="s">
        <v>4</v>
      </c>
      <c r="L18" s="702"/>
    </row>
    <row r="19" spans="2:12" ht="18" customHeight="1" x14ac:dyDescent="0.25">
      <c r="B19" s="747"/>
      <c r="C19" s="745"/>
      <c r="D19" s="742"/>
      <c r="E19" s="740"/>
      <c r="F19" s="699"/>
      <c r="G19" s="675"/>
      <c r="H19" s="93">
        <f>IF(OR(F$16=tech!$A$5,K19=tech!$A$5),0,1)</f>
        <v>1</v>
      </c>
      <c r="I19" s="101" t="str">
        <f>Assessment!C30</f>
        <v>1.2.4.</v>
      </c>
      <c r="J19" s="108" t="str">
        <f>Assessment!D30</f>
        <v>Disclosure statement is documented and published</v>
      </c>
      <c r="K19" s="75" t="s">
        <v>4</v>
      </c>
      <c r="L19" s="702"/>
    </row>
    <row r="20" spans="2:12" ht="18" customHeight="1" thickBot="1" x14ac:dyDescent="0.3">
      <c r="B20" s="747"/>
      <c r="C20" s="745"/>
      <c r="D20" s="742"/>
      <c r="E20" s="740"/>
      <c r="F20" s="699"/>
      <c r="G20" s="675"/>
      <c r="H20" s="93">
        <f>IF(OR(F$16=tech!$A$5,K20=tech!$A$5),0,1)</f>
        <v>1</v>
      </c>
      <c r="I20" s="101" t="str">
        <f>Assessment!C31</f>
        <v>1.2.5.</v>
      </c>
      <c r="J20" s="108" t="str">
        <f>Assessment!D31</f>
        <v>Policies are periodically reviewed and updated</v>
      </c>
      <c r="K20" s="75" t="s">
        <v>4</v>
      </c>
      <c r="L20" s="702"/>
    </row>
    <row r="21" spans="2:12" ht="15" hidden="1" customHeight="1" thickBot="1" x14ac:dyDescent="0.3">
      <c r="B21" s="747"/>
      <c r="C21" s="750"/>
      <c r="D21" s="743"/>
      <c r="E21" s="749"/>
      <c r="F21" s="700"/>
      <c r="G21" s="676"/>
      <c r="H21" s="94">
        <f>IF(OR(F$16=tech!$A$5,K21=tech!$A$5),0,1)</f>
        <v>1</v>
      </c>
      <c r="I21" s="102" t="str">
        <f>Assessment!C32</f>
        <v>1.2.6.</v>
      </c>
      <c r="J21" s="109" t="str">
        <f>Assessment!D32</f>
        <v/>
      </c>
      <c r="K21" s="76" t="s">
        <v>4</v>
      </c>
      <c r="L21" s="703"/>
    </row>
    <row r="22" spans="2:12" ht="26.25" customHeight="1" x14ac:dyDescent="0.25">
      <c r="B22" s="747"/>
      <c r="C22" s="744" t="str">
        <f>Assessment!C34</f>
        <v>1.3. Compliance</v>
      </c>
      <c r="D22" s="741" t="str">
        <f>VLOOKUP(LEFT(C22,4),source!$CV$4:$CW$23,2,0)</f>
        <v>Adherence to standards and applicable regulations and requirements for the PKI and trust services. Standards and regulations may be internal or external, country specific or purpose specific.</v>
      </c>
      <c r="E22" s="739" t="s">
        <v>1437</v>
      </c>
      <c r="F22" s="698" t="s">
        <v>4</v>
      </c>
      <c r="G22" s="674" t="str">
        <f>IF(F22=tech!$A$5,tech!$A$9,IF(COUNTIF(H22:H27,0)&gt;0,tech!$A$10,tech!$A$8))</f>
        <v>Applicable</v>
      </c>
      <c r="H22" s="92">
        <f>IF(OR(F$22=tech!$A$5,K22=tech!$A$5),0,1)</f>
        <v>1</v>
      </c>
      <c r="I22" s="100" t="str">
        <f>Assessment!C38</f>
        <v>1.3.1.</v>
      </c>
      <c r="J22" s="107" t="str">
        <f>Assessment!D38</f>
        <v>Compliance policies are defined, implemented, and communicated</v>
      </c>
      <c r="K22" s="74" t="s">
        <v>4</v>
      </c>
      <c r="L22" s="701"/>
    </row>
    <row r="23" spans="2:12" ht="26.25" customHeight="1" x14ac:dyDescent="0.25">
      <c r="B23" s="747"/>
      <c r="C23" s="745"/>
      <c r="D23" s="742"/>
      <c r="E23" s="740"/>
      <c r="F23" s="699"/>
      <c r="G23" s="675"/>
      <c r="H23" s="93">
        <f>IF(OR(F$22=tech!$A$5,K23=tech!$A$5),0,1)</f>
        <v>1</v>
      </c>
      <c r="I23" s="101" t="str">
        <f>Assessment!C39</f>
        <v>1.3.2.</v>
      </c>
      <c r="J23" s="108" t="str">
        <f>Assessment!D39</f>
        <v>A program to monitor compliance with the policies is established</v>
      </c>
      <c r="K23" s="75" t="s">
        <v>4</v>
      </c>
      <c r="L23" s="702"/>
    </row>
    <row r="24" spans="2:12" ht="26.25" customHeight="1" x14ac:dyDescent="0.25">
      <c r="B24" s="747"/>
      <c r="C24" s="745"/>
      <c r="D24" s="742"/>
      <c r="E24" s="740"/>
      <c r="F24" s="699"/>
      <c r="G24" s="675"/>
      <c r="H24" s="93">
        <f>IF(OR(F$22=tech!$A$5,K24=tech!$A$5),0,1)</f>
        <v>1</v>
      </c>
      <c r="I24" s="101" t="str">
        <f>Assessment!C40</f>
        <v>1.3.3.</v>
      </c>
      <c r="J24" s="108" t="str">
        <f>Assessment!D40</f>
        <v>Responsibilities for the compliance are formally defined and assigned</v>
      </c>
      <c r="K24" s="75" t="s">
        <v>4</v>
      </c>
      <c r="L24" s="702"/>
    </row>
    <row r="25" spans="2:12" ht="26.25" customHeight="1" thickBot="1" x14ac:dyDescent="0.3">
      <c r="B25" s="747"/>
      <c r="C25" s="745"/>
      <c r="D25" s="742"/>
      <c r="E25" s="740"/>
      <c r="F25" s="699"/>
      <c r="G25" s="675"/>
      <c r="H25" s="93">
        <f>IF(OR(F$22=tech!$A$5,K25=tech!$A$5),0,1)</f>
        <v>1</v>
      </c>
      <c r="I25" s="101" t="str">
        <f>Assessment!C41</f>
        <v>1.3.4.</v>
      </c>
      <c r="J25" s="108" t="str">
        <f>Assessment!D41</f>
        <v>List of relevant laws, regulations, and standards, exist and is maintained</v>
      </c>
      <c r="K25" s="75" t="s">
        <v>4</v>
      </c>
      <c r="L25" s="702"/>
    </row>
    <row r="26" spans="2:12" ht="18.75" hidden="1" customHeight="1" x14ac:dyDescent="0.25">
      <c r="B26" s="747"/>
      <c r="C26" s="745"/>
      <c r="D26" s="742"/>
      <c r="E26" s="740"/>
      <c r="F26" s="699"/>
      <c r="G26" s="675"/>
      <c r="H26" s="93">
        <f>IF(OR(F$22=tech!$A$5,K26=tech!$A$5),0,1)</f>
        <v>1</v>
      </c>
      <c r="I26" s="101" t="str">
        <f>Assessment!C42</f>
        <v>1.3.5.</v>
      </c>
      <c r="J26" s="108" t="str">
        <f>Assessment!D42</f>
        <v/>
      </c>
      <c r="K26" s="75" t="s">
        <v>4</v>
      </c>
      <c r="L26" s="702"/>
    </row>
    <row r="27" spans="2:12" ht="18.75" hidden="1" customHeight="1" thickBot="1" x14ac:dyDescent="0.3">
      <c r="B27" s="747"/>
      <c r="C27" s="750"/>
      <c r="D27" s="743"/>
      <c r="E27" s="749"/>
      <c r="F27" s="700"/>
      <c r="G27" s="676"/>
      <c r="H27" s="94">
        <f>IF(OR(F$22=tech!$A$5,K27=tech!$A$5),0,1)</f>
        <v>1</v>
      </c>
      <c r="I27" s="102" t="str">
        <f>Assessment!C43</f>
        <v>1.3.6.</v>
      </c>
      <c r="J27" s="109" t="str">
        <f>Assessment!D43</f>
        <v/>
      </c>
      <c r="K27" s="76" t="s">
        <v>4</v>
      </c>
      <c r="L27" s="703"/>
    </row>
    <row r="28" spans="2:12" ht="21.75" customHeight="1" x14ac:dyDescent="0.25">
      <c r="B28" s="747"/>
      <c r="C28" s="744" t="str">
        <f>Assessment!C45</f>
        <v>1.4. Processes and procedures</v>
      </c>
      <c r="D28" s="741" t="str">
        <f>VLOOKUP(LEFT(C28,4),source!$CV$4:$CW$23,2,0)</f>
        <v>Processes and procedures related to PKI management tasks and operational activities. This includes also the supply chain procedures and processes that includes acceptance or receipt of the HW and SW related to the PKI.</v>
      </c>
      <c r="E28" s="739" t="s">
        <v>1438</v>
      </c>
      <c r="F28" s="698" t="s">
        <v>4</v>
      </c>
      <c r="G28" s="674" t="str">
        <f>IF(F28=tech!$A$5,tech!$A$9,IF(COUNTIF(H28:H33,0)&gt;0,tech!$A$10,tech!$A$8))</f>
        <v>Applicable</v>
      </c>
      <c r="H28" s="92">
        <f>IF(OR(F$28=tech!$A$5,K28=tech!$A$5),0,1)</f>
        <v>1</v>
      </c>
      <c r="I28" s="100" t="str">
        <f>Assessment!C49</f>
        <v>1.4.1.</v>
      </c>
      <c r="J28" s="107" t="str">
        <f>Assessment!D49</f>
        <v>Scope of processes and procedure is aligned with policies</v>
      </c>
      <c r="K28" s="74" t="s">
        <v>4</v>
      </c>
      <c r="L28" s="701"/>
    </row>
    <row r="29" spans="2:12" ht="21.75" customHeight="1" x14ac:dyDescent="0.25">
      <c r="B29" s="747"/>
      <c r="C29" s="745"/>
      <c r="D29" s="742"/>
      <c r="E29" s="740"/>
      <c r="F29" s="699"/>
      <c r="G29" s="675"/>
      <c r="H29" s="93">
        <f>IF(OR(F$28=tech!$A$5,K29=tech!$A$5),0,1)</f>
        <v>1</v>
      </c>
      <c r="I29" s="101" t="str">
        <f>Assessment!C50</f>
        <v>1.4.2.</v>
      </c>
      <c r="J29" s="108" t="str">
        <f>Assessment!D50</f>
        <v>Processes and procedures are formally documented and followed</v>
      </c>
      <c r="K29" s="75" t="s">
        <v>4</v>
      </c>
      <c r="L29" s="702"/>
    </row>
    <row r="30" spans="2:12" ht="21.75" customHeight="1" x14ac:dyDescent="0.25">
      <c r="B30" s="747"/>
      <c r="C30" s="745"/>
      <c r="D30" s="742"/>
      <c r="E30" s="740"/>
      <c r="F30" s="699"/>
      <c r="G30" s="675"/>
      <c r="H30" s="93">
        <f>IF(OR(F$28=tech!$A$5,K30=tech!$A$5),0,1)</f>
        <v>1</v>
      </c>
      <c r="I30" s="101" t="str">
        <f>Assessment!C51</f>
        <v>1.4.3.</v>
      </c>
      <c r="J30" s="108" t="str">
        <f>Assessment!D51</f>
        <v>Recurring activities are executed on time</v>
      </c>
      <c r="K30" s="75" t="s">
        <v>4</v>
      </c>
      <c r="L30" s="702"/>
    </row>
    <row r="31" spans="2:12" ht="21.75" customHeight="1" x14ac:dyDescent="0.25">
      <c r="B31" s="747"/>
      <c r="C31" s="745"/>
      <c r="D31" s="742"/>
      <c r="E31" s="740"/>
      <c r="F31" s="699"/>
      <c r="G31" s="675"/>
      <c r="H31" s="93">
        <f>IF(OR(F$28=tech!$A$5,K31=tech!$A$5),0,1)</f>
        <v>1</v>
      </c>
      <c r="I31" s="101" t="str">
        <f>Assessment!C52</f>
        <v>1.4.4.</v>
      </c>
      <c r="J31" s="108" t="str">
        <f>Assessment!D52</f>
        <v>Evidence from procedures is collected and maintained</v>
      </c>
      <c r="K31" s="75" t="s">
        <v>4</v>
      </c>
      <c r="L31" s="702"/>
    </row>
    <row r="32" spans="2:12" ht="21.75" customHeight="1" thickBot="1" x14ac:dyDescent="0.3">
      <c r="B32" s="747"/>
      <c r="C32" s="745"/>
      <c r="D32" s="742"/>
      <c r="E32" s="740"/>
      <c r="F32" s="699"/>
      <c r="G32" s="675"/>
      <c r="H32" s="93">
        <f>IF(OR(F$28=tech!$A$5,K32=tech!$A$5),0,1)</f>
        <v>1</v>
      </c>
      <c r="I32" s="101" t="str">
        <f>Assessment!C53</f>
        <v>1.4.5.</v>
      </c>
      <c r="J32" s="108" t="str">
        <f>Assessment!D53</f>
        <v>Processes and procedures are reviewed and updated</v>
      </c>
      <c r="K32" s="75" t="s">
        <v>4</v>
      </c>
      <c r="L32" s="702"/>
    </row>
    <row r="33" spans="2:12" ht="15.75" hidden="1" customHeight="1" thickBot="1" x14ac:dyDescent="0.3">
      <c r="B33" s="748"/>
      <c r="C33" s="745"/>
      <c r="D33" s="743"/>
      <c r="E33" s="740"/>
      <c r="F33" s="699"/>
      <c r="G33" s="676"/>
      <c r="H33" s="93">
        <f>IF(OR(F$28=tech!$A$5,K33=tech!$A$5),0,1)</f>
        <v>1</v>
      </c>
      <c r="I33" s="103" t="str">
        <f>Assessment!C54</f>
        <v>1.4.6.</v>
      </c>
      <c r="J33" s="110" t="str">
        <f>Assessment!D54</f>
        <v/>
      </c>
      <c r="K33" s="133" t="s">
        <v>4</v>
      </c>
      <c r="L33" s="702"/>
    </row>
    <row r="34" spans="2:12" ht="20.25" customHeight="1" x14ac:dyDescent="0.25">
      <c r="B34" s="724" t="str">
        <f>Assessment!C57</f>
        <v>2. Management</v>
      </c>
      <c r="C34" s="695" t="str">
        <f>Assessment!C61</f>
        <v>2.1. Key Management</v>
      </c>
      <c r="D34" s="692" t="str">
        <f>VLOOKUP(LEFT(C34,4),source!$CV$4:$CW$23,2,0)</f>
        <v>Key management policy and procedures related to PKI cryptographic keys and its lifecycle. Inventory of cryptographic keys. Secure and trusted key ceremonies. Key escrow and key recovery if applicable.</v>
      </c>
      <c r="E34" s="689" t="s">
        <v>1439</v>
      </c>
      <c r="F34" s="698" t="s">
        <v>4</v>
      </c>
      <c r="G34" s="674" t="str">
        <f>IF(F34=tech!$A$5,tech!$A$9,IF(COUNTIF(H34:H39,0)&gt;0,tech!$A$10,tech!$A$8))</f>
        <v>Applicable</v>
      </c>
      <c r="H34" s="92">
        <f>IF(OR(F$34=tech!$A$5,K34=tech!$A$5),0,1)</f>
        <v>1</v>
      </c>
      <c r="I34" s="104" t="str">
        <f>Assessment!C65</f>
        <v>2.1.1.</v>
      </c>
      <c r="J34" s="111" t="str">
        <f>Assessment!D65</f>
        <v>Key management roles and responsibilities are documented and formally assigned</v>
      </c>
      <c r="K34" s="74" t="s">
        <v>4</v>
      </c>
      <c r="L34" s="701"/>
    </row>
    <row r="35" spans="2:12" ht="20.25" customHeight="1" x14ac:dyDescent="0.25">
      <c r="B35" s="725"/>
      <c r="C35" s="696"/>
      <c r="D35" s="693"/>
      <c r="E35" s="690"/>
      <c r="F35" s="699"/>
      <c r="G35" s="675"/>
      <c r="H35" s="93">
        <f>IF(OR(F$34=tech!$A$5,K35=tech!$A$5),0,1)</f>
        <v>1</v>
      </c>
      <c r="I35" s="105" t="str">
        <f>Assessment!C66</f>
        <v>2.1.2.</v>
      </c>
      <c r="J35" s="112" t="str">
        <f>Assessment!D66</f>
        <v>Inventory of cryptographic keys is documented and maintained</v>
      </c>
      <c r="K35" s="75" t="s">
        <v>4</v>
      </c>
      <c r="L35" s="702"/>
    </row>
    <row r="36" spans="2:12" ht="20.25" customHeight="1" x14ac:dyDescent="0.25">
      <c r="B36" s="725"/>
      <c r="C36" s="696"/>
      <c r="D36" s="693"/>
      <c r="E36" s="690"/>
      <c r="F36" s="699"/>
      <c r="G36" s="675"/>
      <c r="H36" s="93">
        <f>IF(OR(F$34=tech!$A$5,K36=tech!$A$5),0,1)</f>
        <v>1</v>
      </c>
      <c r="I36" s="105" t="str">
        <f>Assessment!C67</f>
        <v>2.1.3.</v>
      </c>
      <c r="J36" s="112" t="str">
        <f>Assessment!D67</f>
        <v>Inventory of cryptographic devices is documented and maintained</v>
      </c>
      <c r="K36" s="75" t="s">
        <v>4</v>
      </c>
      <c r="L36" s="702"/>
    </row>
    <row r="37" spans="2:12" ht="20.25" customHeight="1" x14ac:dyDescent="0.25">
      <c r="B37" s="725"/>
      <c r="C37" s="696"/>
      <c r="D37" s="693"/>
      <c r="E37" s="690"/>
      <c r="F37" s="699"/>
      <c r="G37" s="675"/>
      <c r="H37" s="93">
        <f>IF(OR(F$34=tech!$A$5,K37=tech!$A$5),0,1)</f>
        <v>1</v>
      </c>
      <c r="I37" s="105" t="str">
        <f>Assessment!C68</f>
        <v>2.1.4.</v>
      </c>
      <c r="J37" s="112" t="str">
        <f>Assessment!D68</f>
        <v>Each cryptographic key is defined and has documented lifecycle procedures</v>
      </c>
      <c r="K37" s="75" t="s">
        <v>4</v>
      </c>
      <c r="L37" s="702"/>
    </row>
    <row r="38" spans="2:12" ht="20.25" customHeight="1" x14ac:dyDescent="0.25">
      <c r="B38" s="725"/>
      <c r="C38" s="696"/>
      <c r="D38" s="693"/>
      <c r="E38" s="690"/>
      <c r="F38" s="699"/>
      <c r="G38" s="675"/>
      <c r="H38" s="93">
        <f>IF(OR(F$34=tech!$A$5,K38=tech!$A$5),0,1)</f>
        <v>1</v>
      </c>
      <c r="I38" s="105" t="str">
        <f>Assessment!C69</f>
        <v>2.1.5.</v>
      </c>
      <c r="J38" s="112" t="str">
        <f>Assessment!D69</f>
        <v>Cryptographic cipher suites and protocols are documented and maintained</v>
      </c>
      <c r="K38" s="75" t="s">
        <v>4</v>
      </c>
      <c r="L38" s="702"/>
    </row>
    <row r="39" spans="2:12" ht="20.25" customHeight="1" thickBot="1" x14ac:dyDescent="0.3">
      <c r="B39" s="725"/>
      <c r="C39" s="697"/>
      <c r="D39" s="694"/>
      <c r="E39" s="691"/>
      <c r="F39" s="700"/>
      <c r="G39" s="676"/>
      <c r="H39" s="94">
        <f>IF(OR(F$34=tech!$A$5,K39=tech!$A$5),0,1)</f>
        <v>1</v>
      </c>
      <c r="I39" s="106" t="str">
        <f>Assessment!C70</f>
        <v>2.1.6.</v>
      </c>
      <c r="J39" s="113" t="str">
        <f>Assessment!D70</f>
        <v>Key management is periodically reviewed and updated</v>
      </c>
      <c r="K39" s="76" t="s">
        <v>4</v>
      </c>
      <c r="L39" s="703"/>
    </row>
    <row r="40" spans="2:12" ht="18" customHeight="1" x14ac:dyDescent="0.25">
      <c r="B40" s="725"/>
      <c r="C40" s="695" t="str">
        <f>Assessment!C72</f>
        <v>2.2. Certificate Management</v>
      </c>
      <c r="D40" s="692" t="str">
        <f>VLOOKUP(LEFT(C40,4),source!$CV$4:$CW$23,2,0)</f>
        <v>Certificate management policy and lifecycle. Inventory of certificates. Definition of the certificate profiles and supported states of the certificate including the transitions between the states. Proper validation fo the certificates.</v>
      </c>
      <c r="E40" s="689" t="s">
        <v>1440</v>
      </c>
      <c r="F40" s="698" t="s">
        <v>4</v>
      </c>
      <c r="G40" s="674" t="str">
        <f>IF(F40=tech!$A$5,tech!$A$9,IF(COUNTIF(H40:H46,0)&gt;0,tech!$A$10,tech!$A$8))</f>
        <v>Applicable</v>
      </c>
      <c r="H40" s="92">
        <f>IF(OR(F$40=tech!$A$5,K40=tech!$A$5),0,1)</f>
        <v>1</v>
      </c>
      <c r="I40" s="104" t="str">
        <f>Assessment!C76</f>
        <v>2.2.1.</v>
      </c>
      <c r="J40" s="111" t="str">
        <f>Assessment!D76</f>
        <v>Certificate profiles are documented</v>
      </c>
      <c r="K40" s="74" t="s">
        <v>4</v>
      </c>
      <c r="L40" s="701"/>
    </row>
    <row r="41" spans="2:12" ht="18" customHeight="1" x14ac:dyDescent="0.25">
      <c r="B41" s="725"/>
      <c r="C41" s="696"/>
      <c r="D41" s="693"/>
      <c r="E41" s="690"/>
      <c r="F41" s="699"/>
      <c r="G41" s="675"/>
      <c r="H41" s="93">
        <f>IF(OR(F$40=tech!$A$5,K41=tech!$A$5),0,1)</f>
        <v>1</v>
      </c>
      <c r="I41" s="105" t="str">
        <f>Assessment!C77</f>
        <v>2.2.2.</v>
      </c>
      <c r="J41" s="112" t="str">
        <f>Assessment!D77</f>
        <v>Certificate cipher suites are documented</v>
      </c>
      <c r="K41" s="75" t="s">
        <v>4</v>
      </c>
      <c r="L41" s="702"/>
    </row>
    <row r="42" spans="2:12" ht="18" customHeight="1" x14ac:dyDescent="0.25">
      <c r="B42" s="725"/>
      <c r="C42" s="696"/>
      <c r="D42" s="693"/>
      <c r="E42" s="690"/>
      <c r="F42" s="699"/>
      <c r="G42" s="675"/>
      <c r="H42" s="93">
        <f>IF(OR(F$40=tech!$A$5,K42=tech!$A$5),0,1)</f>
        <v>1</v>
      </c>
      <c r="I42" s="105" t="str">
        <f>Assessment!C78</f>
        <v>2.2.3.</v>
      </c>
      <c r="J42" s="112" t="str">
        <f>Assessment!D78</f>
        <v>Certificate lifecycle management is documented</v>
      </c>
      <c r="K42" s="75" t="s">
        <v>4</v>
      </c>
      <c r="L42" s="702"/>
    </row>
    <row r="43" spans="2:12" ht="18" customHeight="1" x14ac:dyDescent="0.25">
      <c r="B43" s="725"/>
      <c r="C43" s="696"/>
      <c r="D43" s="693"/>
      <c r="E43" s="690"/>
      <c r="F43" s="699"/>
      <c r="G43" s="675"/>
      <c r="H43" s="93">
        <f>IF(OR(F$40=tech!$A$5,K43=tech!$A$5),0,1)</f>
        <v>1</v>
      </c>
      <c r="I43" s="105" t="str">
        <f>Assessment!C79</f>
        <v>2.2.4.</v>
      </c>
      <c r="J43" s="112" t="str">
        <f>Assessment!D79</f>
        <v>Inventory of issued certificates is documented</v>
      </c>
      <c r="K43" s="75" t="s">
        <v>4</v>
      </c>
      <c r="L43" s="702"/>
    </row>
    <row r="44" spans="2:12" ht="18" customHeight="1" x14ac:dyDescent="0.25">
      <c r="B44" s="725"/>
      <c r="C44" s="696"/>
      <c r="D44" s="693"/>
      <c r="E44" s="690"/>
      <c r="F44" s="699"/>
      <c r="G44" s="675"/>
      <c r="H44" s="93">
        <f>IF(OR(F$40=tech!$A$5,K44=tech!$A$5),0,1)</f>
        <v>1</v>
      </c>
      <c r="I44" s="105" t="str">
        <f>Assessment!C80</f>
        <v>2.2.5.</v>
      </c>
      <c r="J44" s="112" t="str">
        <f>Assessment!D80</f>
        <v>Certificate discovery process is documented</v>
      </c>
      <c r="K44" s="75" t="s">
        <v>4</v>
      </c>
      <c r="L44" s="702"/>
    </row>
    <row r="45" spans="2:12" ht="18" customHeight="1" x14ac:dyDescent="0.25">
      <c r="B45" s="725"/>
      <c r="C45" s="696"/>
      <c r="D45" s="693"/>
      <c r="E45" s="690"/>
      <c r="F45" s="699"/>
      <c r="G45" s="675"/>
      <c r="H45" s="93">
        <f>IF(OR(F$40=tech!$A$5,K45=tech!$A$5),0,1)</f>
        <v>1</v>
      </c>
      <c r="I45" s="105" t="str">
        <f>Assessment!C81</f>
        <v>2.2.6.</v>
      </c>
      <c r="J45" s="112" t="str">
        <f>Assessment!D81</f>
        <v>Certificate management is periodically reviewed and updated</v>
      </c>
      <c r="K45" s="75" t="s">
        <v>4</v>
      </c>
      <c r="L45" s="702"/>
    </row>
    <row r="46" spans="2:12" ht="18" customHeight="1" thickBot="1" x14ac:dyDescent="0.3">
      <c r="B46" s="725"/>
      <c r="C46" s="697"/>
      <c r="D46" s="694"/>
      <c r="E46" s="691"/>
      <c r="F46" s="700"/>
      <c r="G46" s="676"/>
      <c r="H46" s="94">
        <f>IF(OR(F$40=tech!$A$5,K46=tech!$A$5),0,1)</f>
        <v>1</v>
      </c>
      <c r="I46" s="106" t="str">
        <f>Assessment!C82</f>
        <v>2.2.7.</v>
      </c>
      <c r="J46" s="113" t="str">
        <f>Assessment!D82</f>
        <v>Organizational PKI governance</v>
      </c>
      <c r="K46" s="76" t="s">
        <v>4</v>
      </c>
      <c r="L46" s="703"/>
    </row>
    <row r="47" spans="2:12" ht="18" customHeight="1" x14ac:dyDescent="0.25">
      <c r="B47" s="725"/>
      <c r="C47" s="695" t="str">
        <f>Assessment!C84</f>
        <v>2.3. Infrastructure Management</v>
      </c>
      <c r="D47" s="692" t="str">
        <f>VLOOKUP(LEFT(C47,4),source!$CV$4:$CW$23,2,0)</f>
        <v>Availability of the PKI services, infrastructure setup to achieve availability goals. PKI continuity testing and infrastructure recovery. Infrastructure security controls.</v>
      </c>
      <c r="E47" s="689" t="s">
        <v>1441</v>
      </c>
      <c r="F47" s="698" t="s">
        <v>4</v>
      </c>
      <c r="G47" s="674" t="str">
        <f>IF(F47=tech!$A$5,tech!$A$9,IF(COUNTIF(H47:H52,0)&gt;0,tech!$A$10,tech!$A$8))</f>
        <v>Applicable</v>
      </c>
      <c r="H47" s="92">
        <f>IF(OR(F$47=tech!$A$5,K47=tech!$A$5),0,1)</f>
        <v>1</v>
      </c>
      <c r="I47" s="104" t="str">
        <f>Assessment!C88</f>
        <v>2.3.1.</v>
      </c>
      <c r="J47" s="111" t="str">
        <f>Assessment!D88</f>
        <v>Network and deployment infrastructure is documented</v>
      </c>
      <c r="K47" s="74" t="s">
        <v>4</v>
      </c>
      <c r="L47" s="701"/>
    </row>
    <row r="48" spans="2:12" ht="18" customHeight="1" x14ac:dyDescent="0.25">
      <c r="B48" s="725"/>
      <c r="C48" s="696"/>
      <c r="D48" s="693"/>
      <c r="E48" s="690"/>
      <c r="F48" s="699"/>
      <c r="G48" s="675"/>
      <c r="H48" s="93">
        <f>IF(OR(F$47=tech!$A$5,K48=tech!$A$5),0,1)</f>
        <v>1</v>
      </c>
      <c r="I48" s="105" t="str">
        <f>Assessment!C89</f>
        <v>2.3.2.</v>
      </c>
      <c r="J48" s="112" t="str">
        <f>Assessment!D89</f>
        <v>Separation and segmentation principles are applied</v>
      </c>
      <c r="K48" s="75" t="s">
        <v>4</v>
      </c>
      <c r="L48" s="702"/>
    </row>
    <row r="49" spans="2:12" ht="18" customHeight="1" x14ac:dyDescent="0.25">
      <c r="B49" s="725"/>
      <c r="C49" s="696"/>
      <c r="D49" s="693"/>
      <c r="E49" s="690"/>
      <c r="F49" s="699"/>
      <c r="G49" s="675"/>
      <c r="H49" s="93">
        <f>IF(OR(F$47=tech!$A$5,K49=tech!$A$5),0,1)</f>
        <v>1</v>
      </c>
      <c r="I49" s="105" t="str">
        <f>Assessment!C90</f>
        <v>2.3.3.</v>
      </c>
      <c r="J49" s="112" t="str">
        <f>Assessment!D90</f>
        <v>Network vulnerability management is implemented and maintained</v>
      </c>
      <c r="K49" s="75" t="s">
        <v>4</v>
      </c>
      <c r="L49" s="702"/>
    </row>
    <row r="50" spans="2:12" ht="18" customHeight="1" x14ac:dyDescent="0.25">
      <c r="B50" s="725"/>
      <c r="C50" s="696"/>
      <c r="D50" s="693"/>
      <c r="E50" s="690"/>
      <c r="F50" s="699"/>
      <c r="G50" s="675"/>
      <c r="H50" s="93">
        <f>IF(OR(F$47=tech!$A$5,K50=tech!$A$5),0,1)</f>
        <v>1</v>
      </c>
      <c r="I50" s="105" t="str">
        <f>Assessment!C91</f>
        <v>2.3.4.</v>
      </c>
      <c r="J50" s="112" t="str">
        <f>Assessment!D91</f>
        <v>Infrastructure recovery objectives controls</v>
      </c>
      <c r="K50" s="75" t="s">
        <v>4</v>
      </c>
      <c r="L50" s="702"/>
    </row>
    <row r="51" spans="2:12" ht="18" customHeight="1" thickBot="1" x14ac:dyDescent="0.3">
      <c r="B51" s="725"/>
      <c r="C51" s="696"/>
      <c r="D51" s="693"/>
      <c r="E51" s="690"/>
      <c r="F51" s="699"/>
      <c r="G51" s="675"/>
      <c r="H51" s="93">
        <f>IF(OR(F$47=tech!$A$5,K51=tech!$A$5),0,1)</f>
        <v>1</v>
      </c>
      <c r="I51" s="105" t="str">
        <f>Assessment!C92</f>
        <v>2.3.5.</v>
      </c>
      <c r="J51" s="112" t="str">
        <f>Assessment!D92</f>
        <v>Infrastructure activities are periodically reviewed</v>
      </c>
      <c r="K51" s="75" t="s">
        <v>4</v>
      </c>
      <c r="L51" s="702"/>
    </row>
    <row r="52" spans="2:12" ht="15.75" hidden="1" thickBot="1" x14ac:dyDescent="0.3">
      <c r="B52" s="725"/>
      <c r="C52" s="697"/>
      <c r="D52" s="694"/>
      <c r="E52" s="691"/>
      <c r="F52" s="700"/>
      <c r="G52" s="676"/>
      <c r="H52" s="94">
        <f>IF(OR(F$47=tech!$A$5,K52=tech!$A$5),0,1)</f>
        <v>1</v>
      </c>
      <c r="I52" s="106" t="str">
        <f>Assessment!C93</f>
        <v>2.3.6.</v>
      </c>
      <c r="J52" s="113" t="str">
        <f>Assessment!D93</f>
        <v/>
      </c>
      <c r="K52" s="76" t="s">
        <v>4</v>
      </c>
      <c r="L52" s="703"/>
    </row>
    <row r="53" spans="2:12" ht="18" customHeight="1" x14ac:dyDescent="0.25">
      <c r="B53" s="725"/>
      <c r="C53" s="695" t="str">
        <f>Assessment!C95</f>
        <v>2.4. Change Management and Agility</v>
      </c>
      <c r="D53" s="692" t="str">
        <f>VLOOKUP(LEFT(C53,4),source!$CV$4:$CW$23,2,0)</f>
        <v>Secure and controlled process for the change management. Formal process to request changes in the PKI, approval, staging, roll-back.</v>
      </c>
      <c r="E53" s="689" t="s">
        <v>1442</v>
      </c>
      <c r="F53" s="698" t="s">
        <v>4</v>
      </c>
      <c r="G53" s="674" t="str">
        <f>IF(F53=tech!$A$5,tech!$A$9,IF(COUNTIF(H53:H58,0)&gt;0,tech!$A$10,tech!$A$8))</f>
        <v>Applicable</v>
      </c>
      <c r="H53" s="92">
        <f>IF(OR(F$53=tech!$A$5,K53=tech!$A$5),0,1)</f>
        <v>1</v>
      </c>
      <c r="I53" s="104" t="str">
        <f>Assessment!C99</f>
        <v>2.4.1.</v>
      </c>
      <c r="J53" s="111" t="str">
        <f>Assessment!D99</f>
        <v>The policy for change management and agility is documented</v>
      </c>
      <c r="K53" s="74" t="s">
        <v>4</v>
      </c>
      <c r="L53" s="701"/>
    </row>
    <row r="54" spans="2:12" ht="18" customHeight="1" x14ac:dyDescent="0.25">
      <c r="B54" s="725"/>
      <c r="C54" s="696"/>
      <c r="D54" s="693"/>
      <c r="E54" s="690"/>
      <c r="F54" s="699"/>
      <c r="G54" s="675"/>
      <c r="H54" s="93">
        <f>IF(OR(F$53=tech!$A$5,K54=tech!$A$5),0,1)</f>
        <v>1</v>
      </c>
      <c r="I54" s="105" t="str">
        <f>Assessment!C100</f>
        <v>2.4.2.</v>
      </c>
      <c r="J54" s="112" t="str">
        <f>Assessment!D100</f>
        <v>Request for change structure is documented and followed</v>
      </c>
      <c r="K54" s="75" t="s">
        <v>4</v>
      </c>
      <c r="L54" s="702"/>
    </row>
    <row r="55" spans="2:12" ht="18" customHeight="1" x14ac:dyDescent="0.25">
      <c r="B55" s="725"/>
      <c r="C55" s="696"/>
      <c r="D55" s="693"/>
      <c r="E55" s="690"/>
      <c r="F55" s="699"/>
      <c r="G55" s="675"/>
      <c r="H55" s="93">
        <f>IF(OR(F$53=tech!$A$5,K55=tech!$A$5),0,1)</f>
        <v>1</v>
      </c>
      <c r="I55" s="105" t="str">
        <f>Assessment!C101</f>
        <v>2.4.3.</v>
      </c>
      <c r="J55" s="112" t="str">
        <f>Assessment!D101</f>
        <v>The change management process is documented and implemented</v>
      </c>
      <c r="K55" s="75" t="s">
        <v>4</v>
      </c>
      <c r="L55" s="702"/>
    </row>
    <row r="56" spans="2:12" ht="18" customHeight="1" x14ac:dyDescent="0.25">
      <c r="B56" s="725"/>
      <c r="C56" s="696"/>
      <c r="D56" s="693"/>
      <c r="E56" s="690"/>
      <c r="F56" s="699"/>
      <c r="G56" s="675"/>
      <c r="H56" s="93">
        <f>IF(OR(F$53=tech!$A$5,K56=tech!$A$5),0,1)</f>
        <v>1</v>
      </c>
      <c r="I56" s="105" t="str">
        <f>Assessment!C102</f>
        <v>2.4.4.</v>
      </c>
      <c r="J56" s="112" t="str">
        <f>Assessment!D102</f>
        <v>Requirements for agility are identified</v>
      </c>
      <c r="K56" s="75" t="s">
        <v>4</v>
      </c>
      <c r="L56" s="702"/>
    </row>
    <row r="57" spans="2:12" ht="18" customHeight="1" thickBot="1" x14ac:dyDescent="0.3">
      <c r="B57" s="725"/>
      <c r="C57" s="696"/>
      <c r="D57" s="693"/>
      <c r="E57" s="690"/>
      <c r="F57" s="699"/>
      <c r="G57" s="675"/>
      <c r="H57" s="93">
        <f>IF(OR(F$53=tech!$A$5,K57=tech!$A$5),0,1)</f>
        <v>1</v>
      </c>
      <c r="I57" s="105" t="str">
        <f>Assessment!C103</f>
        <v>2.4.5.</v>
      </c>
      <c r="J57" s="112" t="str">
        <f>Assessment!D103</f>
        <v>Change management and agility is periodically reviewed</v>
      </c>
      <c r="K57" s="75" t="s">
        <v>4</v>
      </c>
      <c r="L57" s="702"/>
    </row>
    <row r="58" spans="2:12" ht="15.75" hidden="1" thickBot="1" x14ac:dyDescent="0.3">
      <c r="B58" s="726"/>
      <c r="C58" s="696"/>
      <c r="D58" s="693"/>
      <c r="E58" s="690"/>
      <c r="F58" s="699"/>
      <c r="G58" s="676"/>
      <c r="H58" s="93">
        <f>IF(OR(F$53=tech!$A$5,K58=tech!$A$5),0,1)</f>
        <v>1</v>
      </c>
      <c r="I58" s="114" t="str">
        <f>Assessment!C104</f>
        <v>2.4.6.</v>
      </c>
      <c r="J58" s="115" t="str">
        <f>Assessment!D104</f>
        <v/>
      </c>
      <c r="K58" s="133" t="s">
        <v>4</v>
      </c>
      <c r="L58" s="702"/>
    </row>
    <row r="59" spans="2:12" x14ac:dyDescent="0.25">
      <c r="B59" s="716" t="str">
        <f>Assessment!C107</f>
        <v>3. Operations</v>
      </c>
      <c r="C59" s="686" t="str">
        <f>Assessment!C111</f>
        <v>3.1. Resilience</v>
      </c>
      <c r="D59" s="720" t="str">
        <f>VLOOKUP(LEFT(C59,4),source!$CV$4:$CW$23,2,0)</f>
        <v>Quickly respond to potential attack and unavailability of the PKI services or other related resources.</v>
      </c>
      <c r="E59" s="718" t="s">
        <v>1443</v>
      </c>
      <c r="F59" s="698" t="s">
        <v>4</v>
      </c>
      <c r="G59" s="674" t="str">
        <f>IF(F59=tech!$A$5,tech!$A$9,IF(COUNTIF(H59:H64,0)&gt;0,tech!$A$10,tech!$A$8))</f>
        <v>Applicable</v>
      </c>
      <c r="H59" s="92">
        <f>IF(OR(F$59=tech!$A$5,K59=tech!$A$5),0,1)</f>
        <v>1</v>
      </c>
      <c r="I59" s="116" t="str">
        <f>Assessment!C115</f>
        <v>3.1.1.</v>
      </c>
      <c r="J59" s="117" t="str">
        <f>Assessment!D115</f>
        <v>Risk assessment and business impact analysis</v>
      </c>
      <c r="K59" s="74" t="s">
        <v>4</v>
      </c>
      <c r="L59" s="701"/>
    </row>
    <row r="60" spans="2:12" x14ac:dyDescent="0.25">
      <c r="B60" s="717"/>
      <c r="C60" s="687"/>
      <c r="D60" s="721"/>
      <c r="E60" s="719"/>
      <c r="F60" s="699"/>
      <c r="G60" s="675"/>
      <c r="H60" s="93">
        <f>IF(OR(F$59=tech!$A$5,K60=tech!$A$5),0,1)</f>
        <v>1</v>
      </c>
      <c r="I60" s="118" t="str">
        <f>Assessment!C116</f>
        <v>3.1.2.</v>
      </c>
      <c r="J60" s="119" t="str">
        <f>Assessment!D116</f>
        <v>Cyber-security management and incident planning</v>
      </c>
      <c r="K60" s="75" t="s">
        <v>4</v>
      </c>
      <c r="L60" s="702"/>
    </row>
    <row r="61" spans="2:12" x14ac:dyDescent="0.25">
      <c r="B61" s="717"/>
      <c r="C61" s="687"/>
      <c r="D61" s="721"/>
      <c r="E61" s="719"/>
      <c r="F61" s="699"/>
      <c r="G61" s="675"/>
      <c r="H61" s="93">
        <f>IF(OR(F$59=tech!$A$5,K61=tech!$A$5),0,1)</f>
        <v>1</v>
      </c>
      <c r="I61" s="118" t="str">
        <f>Assessment!C117</f>
        <v>3.1.3.</v>
      </c>
      <c r="J61" s="119" t="str">
        <f>Assessment!D117</f>
        <v>Business continuity planning and disaster recovery</v>
      </c>
      <c r="K61" s="75" t="s">
        <v>4</v>
      </c>
      <c r="L61" s="702"/>
    </row>
    <row r="62" spans="2:12" x14ac:dyDescent="0.25">
      <c r="B62" s="717"/>
      <c r="C62" s="687"/>
      <c r="D62" s="721"/>
      <c r="E62" s="719"/>
      <c r="F62" s="699"/>
      <c r="G62" s="675"/>
      <c r="H62" s="93">
        <f>IF(OR(F$59=tech!$A$5,K62=tech!$A$5),0,1)</f>
        <v>1</v>
      </c>
      <c r="I62" s="118" t="str">
        <f>Assessment!C118</f>
        <v>3.1.4.</v>
      </c>
      <c r="J62" s="119" t="str">
        <f>Assessment!D118</f>
        <v>Technology future proofing</v>
      </c>
      <c r="K62" s="75" t="s">
        <v>4</v>
      </c>
      <c r="L62" s="702"/>
    </row>
    <row r="63" spans="2:12" x14ac:dyDescent="0.25">
      <c r="B63" s="717"/>
      <c r="C63" s="687"/>
      <c r="D63" s="721"/>
      <c r="E63" s="719"/>
      <c r="F63" s="699"/>
      <c r="G63" s="675"/>
      <c r="H63" s="93">
        <f>IF(OR(F$59=tech!$A$5,K63=tech!$A$5),0,1)</f>
        <v>1</v>
      </c>
      <c r="I63" s="118" t="str">
        <f>Assessment!C119</f>
        <v>3.1.5.</v>
      </c>
      <c r="J63" s="119" t="str">
        <f>Assessment!D119</f>
        <v>Competence and information sharing</v>
      </c>
      <c r="K63" s="75" t="s">
        <v>4</v>
      </c>
      <c r="L63" s="702"/>
    </row>
    <row r="64" spans="2:12" ht="15.75" thickBot="1" x14ac:dyDescent="0.3">
      <c r="B64" s="717"/>
      <c r="C64" s="688"/>
      <c r="D64" s="722"/>
      <c r="E64" s="723"/>
      <c r="F64" s="700"/>
      <c r="G64" s="676"/>
      <c r="H64" s="94">
        <f>IF(OR(F$59=tech!$A$5,K64=tech!$A$5),0,1)</f>
        <v>1</v>
      </c>
      <c r="I64" s="120" t="str">
        <f>Assessment!C120</f>
        <v>3.1.6.</v>
      </c>
      <c r="J64" s="121" t="str">
        <f>Assessment!D120</f>
        <v>Continual review and improvement</v>
      </c>
      <c r="K64" s="76" t="s">
        <v>4</v>
      </c>
      <c r="L64" s="703"/>
    </row>
    <row r="65" spans="2:12" ht="30" customHeight="1" x14ac:dyDescent="0.25">
      <c r="B65" s="717"/>
      <c r="C65" s="686" t="str">
        <f>Assessment!C122</f>
        <v>3.2. Interoperability</v>
      </c>
      <c r="D65" s="720" t="str">
        <f>VLOOKUP(LEFT(C65,4),source!$CV$4:$CW$23,2,0)</f>
        <v>Interoperability between applications, implementations, and technologies. Application of interoperable protocols and standards. Transparency and vendor lock avoidance strategy.</v>
      </c>
      <c r="E65" s="718" t="s">
        <v>1444</v>
      </c>
      <c r="F65" s="698" t="s">
        <v>4</v>
      </c>
      <c r="G65" s="674" t="str">
        <f>IF(F65=tech!$A$5,tech!$A$9,IF(COUNTIF(H65:H70,0)&gt;0,tech!$A$10,tech!$A$8))</f>
        <v>Applicable</v>
      </c>
      <c r="H65" s="92">
        <f>IF(OR(F$65=tech!$A$5,K65=tech!$A$5),0,1)</f>
        <v>1</v>
      </c>
      <c r="I65" s="116" t="str">
        <f>Assessment!C126</f>
        <v>3.2.1.</v>
      </c>
      <c r="J65" s="117" t="str">
        <f>Assessment!D126</f>
        <v>Maintain PKI interoperability strategy</v>
      </c>
      <c r="K65" s="74" t="s">
        <v>4</v>
      </c>
      <c r="L65" s="701"/>
    </row>
    <row r="66" spans="2:12" ht="30" customHeight="1" x14ac:dyDescent="0.25">
      <c r="B66" s="717"/>
      <c r="C66" s="687"/>
      <c r="D66" s="721"/>
      <c r="E66" s="719"/>
      <c r="F66" s="699"/>
      <c r="G66" s="675"/>
      <c r="H66" s="93">
        <f>IF(OR(F$65=tech!$A$5,K66=tech!$A$5),0,1)</f>
        <v>1</v>
      </c>
      <c r="I66" s="118" t="str">
        <f>Assessment!C127</f>
        <v>3.2.2.</v>
      </c>
      <c r="J66" s="119" t="str">
        <f>Assessment!D127</f>
        <v>Documented integration guidance</v>
      </c>
      <c r="K66" s="75" t="s">
        <v>4</v>
      </c>
      <c r="L66" s="702"/>
    </row>
    <row r="67" spans="2:12" ht="30" customHeight="1" thickBot="1" x14ac:dyDescent="0.3">
      <c r="B67" s="717"/>
      <c r="C67" s="687"/>
      <c r="D67" s="721"/>
      <c r="E67" s="719"/>
      <c r="F67" s="699"/>
      <c r="G67" s="675"/>
      <c r="H67" s="93">
        <f>IF(OR(F$65=tech!$A$5,K67=tech!$A$5),0,1)</f>
        <v>1</v>
      </c>
      <c r="I67" s="118" t="str">
        <f>Assessment!C128</f>
        <v>3.2.3.</v>
      </c>
      <c r="J67" s="119" t="str">
        <f>Assessment!D128</f>
        <v>Adoption and application of open standards</v>
      </c>
      <c r="K67" s="75" t="s">
        <v>4</v>
      </c>
      <c r="L67" s="702"/>
    </row>
    <row r="68" spans="2:12" ht="15" hidden="1" customHeight="1" x14ac:dyDescent="0.25">
      <c r="B68" s="717"/>
      <c r="C68" s="687"/>
      <c r="D68" s="721"/>
      <c r="E68" s="719"/>
      <c r="F68" s="699"/>
      <c r="G68" s="675"/>
      <c r="H68" s="93">
        <f>IF(OR(F$65=tech!$A$5,K68=tech!$A$5),0,1)</f>
        <v>1</v>
      </c>
      <c r="I68" s="118" t="str">
        <f>Assessment!C129</f>
        <v>3.2.4.</v>
      </c>
      <c r="J68" s="119" t="str">
        <f>Assessment!D129</f>
        <v/>
      </c>
      <c r="K68" s="75" t="s">
        <v>4</v>
      </c>
      <c r="L68" s="702"/>
    </row>
    <row r="69" spans="2:12" ht="15" hidden="1" customHeight="1" x14ac:dyDescent="0.25">
      <c r="B69" s="717"/>
      <c r="C69" s="687"/>
      <c r="D69" s="721"/>
      <c r="E69" s="719"/>
      <c r="F69" s="699"/>
      <c r="G69" s="675"/>
      <c r="H69" s="93">
        <f>IF(OR(F$65=tech!$A$5,K69=tech!$A$5),0,1)</f>
        <v>1</v>
      </c>
      <c r="I69" s="118" t="str">
        <f>Assessment!C130</f>
        <v>3.2.5.</v>
      </c>
      <c r="J69" s="119" t="str">
        <f>Assessment!D130</f>
        <v/>
      </c>
      <c r="K69" s="75" t="s">
        <v>4</v>
      </c>
      <c r="L69" s="702"/>
    </row>
    <row r="70" spans="2:12" ht="15.75" hidden="1" customHeight="1" thickBot="1" x14ac:dyDescent="0.3">
      <c r="B70" s="717"/>
      <c r="C70" s="688"/>
      <c r="D70" s="722"/>
      <c r="E70" s="723"/>
      <c r="F70" s="700"/>
      <c r="G70" s="676"/>
      <c r="H70" s="94">
        <f>IF(OR(F$65=tech!$A$5,K70=tech!$A$5),0,1)</f>
        <v>1</v>
      </c>
      <c r="I70" s="120" t="str">
        <f>Assessment!C131</f>
        <v>3.2.6.</v>
      </c>
      <c r="J70" s="121" t="str">
        <f>Assessment!D131</f>
        <v/>
      </c>
      <c r="K70" s="76" t="s">
        <v>4</v>
      </c>
      <c r="L70" s="703"/>
    </row>
    <row r="71" spans="2:12" ht="15" customHeight="1" x14ac:dyDescent="0.25">
      <c r="B71" s="717"/>
      <c r="C71" s="686" t="str">
        <f>Assessment!C133</f>
        <v>3.3. Monitoring and Auditing</v>
      </c>
      <c r="D71" s="720" t="str">
        <f>VLOOKUP(LEFT(C71,4),source!$CV$4:$CW$23,2,0)</f>
        <v>Measurement of the PKI metrics, collecting evidence, monitoring and alerting of relevant issues, including references to incident response management.</v>
      </c>
      <c r="E71" s="718" t="s">
        <v>1445</v>
      </c>
      <c r="F71" s="698" t="s">
        <v>4</v>
      </c>
      <c r="G71" s="674" t="str">
        <f>IF(F71=tech!$A$5,tech!$A$9,IF(COUNTIF(H71:H76,0)&gt;0,tech!$A$10,tech!$A$8))</f>
        <v>Applicable</v>
      </c>
      <c r="H71" s="92">
        <f>IF(OR(F$71=tech!$A$5,K71=tech!$A$5),0,1)</f>
        <v>1</v>
      </c>
      <c r="I71" s="116" t="str">
        <f>Assessment!C137</f>
        <v>3.3.1.</v>
      </c>
      <c r="J71" s="117" t="str">
        <f>Assessment!D137</f>
        <v>Monitoring events and logging requirements are defined and documented</v>
      </c>
      <c r="K71" s="74" t="s">
        <v>4</v>
      </c>
      <c r="L71" s="701"/>
    </row>
    <row r="72" spans="2:12" x14ac:dyDescent="0.25">
      <c r="B72" s="717"/>
      <c r="C72" s="687"/>
      <c r="D72" s="721"/>
      <c r="E72" s="719"/>
      <c r="F72" s="699"/>
      <c r="G72" s="675"/>
      <c r="H72" s="93">
        <f>IF(OR(F$71=tech!$A$5,K72=tech!$A$5),0,1)</f>
        <v>1</v>
      </c>
      <c r="I72" s="118" t="str">
        <f>Assessment!C138</f>
        <v>3.3.2.</v>
      </c>
      <c r="J72" s="119" t="str">
        <f>Assessment!D138</f>
        <v>Event logs from systems are collected</v>
      </c>
      <c r="K72" s="75" t="s">
        <v>4</v>
      </c>
      <c r="L72" s="702"/>
    </row>
    <row r="73" spans="2:12" x14ac:dyDescent="0.25">
      <c r="B73" s="717"/>
      <c r="C73" s="687"/>
      <c r="D73" s="721"/>
      <c r="E73" s="719"/>
      <c r="F73" s="699"/>
      <c r="G73" s="675"/>
      <c r="H73" s="93">
        <f>IF(OR(F$71=tech!$A$5,K73=tech!$A$5),0,1)</f>
        <v>1</v>
      </c>
      <c r="I73" s="118" t="str">
        <f>Assessment!C139</f>
        <v>3.3.3.</v>
      </c>
      <c r="J73" s="119" t="str">
        <f>Assessment!D139</f>
        <v>Audit trail can be reconstructed from audit logs</v>
      </c>
      <c r="K73" s="75" t="s">
        <v>4</v>
      </c>
      <c r="L73" s="702"/>
    </row>
    <row r="74" spans="2:12" x14ac:dyDescent="0.25">
      <c r="B74" s="717"/>
      <c r="C74" s="687"/>
      <c r="D74" s="721"/>
      <c r="E74" s="719"/>
      <c r="F74" s="699"/>
      <c r="G74" s="675"/>
      <c r="H74" s="93">
        <f>IF(OR(F$71=tech!$A$5,K74=tech!$A$5),0,1)</f>
        <v>1</v>
      </c>
      <c r="I74" s="118" t="str">
        <f>Assessment!C140</f>
        <v>3.3.4.</v>
      </c>
      <c r="J74" s="119" t="str">
        <f>Assessment!D140</f>
        <v>Monitoring of operational and security events is implemented</v>
      </c>
      <c r="K74" s="75" t="s">
        <v>4</v>
      </c>
      <c r="L74" s="702"/>
    </row>
    <row r="75" spans="2:12" x14ac:dyDescent="0.25">
      <c r="B75" s="717"/>
      <c r="C75" s="687"/>
      <c r="D75" s="721"/>
      <c r="E75" s="719"/>
      <c r="F75" s="699"/>
      <c r="G75" s="675"/>
      <c r="H75" s="93">
        <f>IF(OR(F$71=tech!$A$5,K75=tech!$A$5),0,1)</f>
        <v>1</v>
      </c>
      <c r="I75" s="118" t="str">
        <f>Assessment!C141</f>
        <v>3.3.5.</v>
      </c>
      <c r="J75" s="119" t="str">
        <f>Assessment!D141</f>
        <v>Critical events are immediately alerted and resolved according to incident response plans</v>
      </c>
      <c r="K75" s="75" t="s">
        <v>4</v>
      </c>
      <c r="L75" s="702"/>
    </row>
    <row r="76" spans="2:12" ht="15.75" thickBot="1" x14ac:dyDescent="0.3">
      <c r="B76" s="717"/>
      <c r="C76" s="688"/>
      <c r="D76" s="722"/>
      <c r="E76" s="723"/>
      <c r="F76" s="700"/>
      <c r="G76" s="676"/>
      <c r="H76" s="94">
        <f>IF(OR(F$71=tech!$A$5,K76=tech!$A$5),0,1)</f>
        <v>1</v>
      </c>
      <c r="I76" s="120" t="str">
        <f>Assessment!C142</f>
        <v>3.3.6.</v>
      </c>
      <c r="J76" s="121" t="str">
        <f>Assessment!D142</f>
        <v>Review of events and logs is periodically performed</v>
      </c>
      <c r="K76" s="76" t="s">
        <v>4</v>
      </c>
      <c r="L76" s="703"/>
    </row>
    <row r="77" spans="2:12" ht="30" customHeight="1" x14ac:dyDescent="0.25">
      <c r="B77" s="717"/>
      <c r="C77" s="686" t="str">
        <f>Assessment!C144</f>
        <v>3.4. Automation</v>
      </c>
      <c r="D77" s="720" t="str">
        <f>VLOOKUP(LEFT(C77,4),source!$CV$4:$CW$23,2,0)</f>
        <v>Automation of certificate lifecycle management. Technology and tools for the automation. Monitoring of automated certificate operations.</v>
      </c>
      <c r="E77" s="718" t="s">
        <v>1446</v>
      </c>
      <c r="F77" s="698" t="s">
        <v>4</v>
      </c>
      <c r="G77" s="674" t="str">
        <f>IF(F77=tech!$A$5,tech!$A$9,IF(COUNTIF(H77:H82,0)&gt;0,tech!$A$10,tech!$A$8))</f>
        <v>Applicable</v>
      </c>
      <c r="H77" s="92">
        <f>IF(OR(F$77=tech!$A$5,K77=tech!$A$5),0,1)</f>
        <v>1</v>
      </c>
      <c r="I77" s="116" t="str">
        <f>Assessment!C148</f>
        <v>3.4.1.</v>
      </c>
      <c r="J77" s="117" t="str">
        <f>Assessment!D148</f>
        <v>Process automation description</v>
      </c>
      <c r="K77" s="74" t="s">
        <v>4</v>
      </c>
      <c r="L77" s="701"/>
    </row>
    <row r="78" spans="2:12" ht="30" customHeight="1" x14ac:dyDescent="0.25">
      <c r="B78" s="717"/>
      <c r="C78" s="687"/>
      <c r="D78" s="721"/>
      <c r="E78" s="719"/>
      <c r="F78" s="699"/>
      <c r="G78" s="675"/>
      <c r="H78" s="93">
        <f>IF(OR(F$77=tech!$A$5,K78=tech!$A$5),0,1)</f>
        <v>1</v>
      </c>
      <c r="I78" s="118" t="str">
        <f>Assessment!C149</f>
        <v>3.4.2.</v>
      </c>
      <c r="J78" s="119" t="str">
        <f>Assessment!D149</f>
        <v>Monitoring and auditing of automated process</v>
      </c>
      <c r="K78" s="75" t="s">
        <v>4</v>
      </c>
      <c r="L78" s="702"/>
    </row>
    <row r="79" spans="2:12" ht="30" customHeight="1" thickBot="1" x14ac:dyDescent="0.3">
      <c r="B79" s="717"/>
      <c r="C79" s="687"/>
      <c r="D79" s="721"/>
      <c r="E79" s="719"/>
      <c r="F79" s="699"/>
      <c r="G79" s="675"/>
      <c r="H79" s="93">
        <f>IF(OR(F$77=tech!$A$5,K79=tech!$A$5),0,1)</f>
        <v>1</v>
      </c>
      <c r="I79" s="118" t="str">
        <f>Assessment!C150</f>
        <v>3.4.3.</v>
      </c>
      <c r="J79" s="119" t="str">
        <f>Assessment!D150</f>
        <v>Incidents and exceptions handling</v>
      </c>
      <c r="K79" s="75" t="s">
        <v>4</v>
      </c>
      <c r="L79" s="702"/>
    </row>
    <row r="80" spans="2:12" ht="15" hidden="1" customHeight="1" x14ac:dyDescent="0.25">
      <c r="B80" s="717"/>
      <c r="C80" s="687"/>
      <c r="D80" s="721"/>
      <c r="E80" s="719"/>
      <c r="F80" s="699"/>
      <c r="G80" s="675"/>
      <c r="H80" s="93">
        <f>IF(OR(F$77=tech!$A$5,K80=tech!$A$5),0,1)</f>
        <v>1</v>
      </c>
      <c r="I80" s="118" t="str">
        <f>Assessment!C151</f>
        <v>3.4.4.</v>
      </c>
      <c r="J80" s="119" t="str">
        <f>Assessment!D151</f>
        <v/>
      </c>
      <c r="K80" s="75" t="s">
        <v>4</v>
      </c>
      <c r="L80" s="702"/>
    </row>
    <row r="81" spans="2:12" ht="15" hidden="1" customHeight="1" x14ac:dyDescent="0.25">
      <c r="B81" s="717"/>
      <c r="C81" s="687"/>
      <c r="D81" s="721"/>
      <c r="E81" s="719"/>
      <c r="F81" s="699"/>
      <c r="G81" s="675"/>
      <c r="H81" s="93">
        <f>IF(OR(F$77=tech!$A$5,K81=tech!$A$5),0,1)</f>
        <v>1</v>
      </c>
      <c r="I81" s="118" t="str">
        <f>Assessment!C152</f>
        <v>3.4.5.</v>
      </c>
      <c r="J81" s="119" t="str">
        <f>Assessment!D152</f>
        <v/>
      </c>
      <c r="K81" s="75" t="s">
        <v>4</v>
      </c>
      <c r="L81" s="702"/>
    </row>
    <row r="82" spans="2:12" ht="15.75" hidden="1" customHeight="1" thickBot="1" x14ac:dyDescent="0.3">
      <c r="B82" s="717"/>
      <c r="C82" s="687"/>
      <c r="D82" s="722"/>
      <c r="E82" s="719"/>
      <c r="F82" s="699"/>
      <c r="G82" s="676"/>
      <c r="H82" s="93">
        <f>IF(OR(F$77=tech!$A$5,K82=tech!$A$5),0,1)</f>
        <v>1</v>
      </c>
      <c r="I82" s="122" t="str">
        <f>Assessment!C153</f>
        <v>3.4.6.</v>
      </c>
      <c r="J82" s="123" t="str">
        <f>Assessment!D153</f>
        <v/>
      </c>
      <c r="K82" s="133" t="s">
        <v>4</v>
      </c>
      <c r="L82" s="702"/>
    </row>
    <row r="83" spans="2:12" ht="18.75" customHeight="1" x14ac:dyDescent="0.25">
      <c r="B83" s="704" t="str">
        <f>Assessment!C156</f>
        <v>4. Resources</v>
      </c>
      <c r="C83" s="683" t="str">
        <f>Assessment!C160</f>
        <v>4.1. Sourcing</v>
      </c>
      <c r="D83" s="713" t="str">
        <f>VLOOKUP(LEFT(C83,4),source!$CV$4:$CW$23,2,0)</f>
        <v>Availability of skilled resources to manage PKI. Processes and procedures to maintain the required resources in time, monitoring of the skills.</v>
      </c>
      <c r="E83" s="710" t="s">
        <v>1447</v>
      </c>
      <c r="F83" s="707" t="s">
        <v>4</v>
      </c>
      <c r="G83" s="674" t="str">
        <f>IF(F83=tech!$A$5,tech!$A$9,IF(COUNTIF(H83:H86,0)&gt;0,tech!$A$10,tech!$A$8))</f>
        <v>Applicable</v>
      </c>
      <c r="H83" s="92">
        <f>IF(OR(F$83=tech!$A$5,K83=tech!$A$5),0,1)</f>
        <v>1</v>
      </c>
      <c r="I83" s="124" t="str">
        <f>Assessment!C164</f>
        <v>4.1.1.</v>
      </c>
      <c r="J83" s="125" t="str">
        <f>Assessment!D164</f>
        <v>Resources are identified and documented</v>
      </c>
      <c r="K83" s="74" t="s">
        <v>4</v>
      </c>
      <c r="L83" s="701"/>
    </row>
    <row r="84" spans="2:12" ht="18.75" customHeight="1" x14ac:dyDescent="0.25">
      <c r="B84" s="705"/>
      <c r="C84" s="684"/>
      <c r="D84" s="714"/>
      <c r="E84" s="711"/>
      <c r="F84" s="708"/>
      <c r="G84" s="675"/>
      <c r="H84" s="93">
        <f>IF(OR(F$83=tech!$A$5,K84=tech!$A$5),0,1)</f>
        <v>1</v>
      </c>
      <c r="I84" s="126" t="str">
        <f>Assessment!C165</f>
        <v>4.1.2.</v>
      </c>
      <c r="J84" s="127" t="str">
        <f>Assessment!D165</f>
        <v>Resources are clearly defined</v>
      </c>
      <c r="K84" s="75" t="s">
        <v>4</v>
      </c>
      <c r="L84" s="702"/>
    </row>
    <row r="85" spans="2:12" ht="18.75" customHeight="1" x14ac:dyDescent="0.25">
      <c r="B85" s="705"/>
      <c r="C85" s="684"/>
      <c r="D85" s="714"/>
      <c r="E85" s="711"/>
      <c r="F85" s="708"/>
      <c r="G85" s="675"/>
      <c r="H85" s="93">
        <f>IF(OR(F$83=tech!$A$5,K85=tech!$A$5),0,1)</f>
        <v>1</v>
      </c>
      <c r="I85" s="126" t="str">
        <f>Assessment!C166</f>
        <v>4.1.3.</v>
      </c>
      <c r="J85" s="127" t="str">
        <f>Assessment!D166</f>
        <v>Availability of resources</v>
      </c>
      <c r="K85" s="75" t="s">
        <v>4</v>
      </c>
      <c r="L85" s="702"/>
    </row>
    <row r="86" spans="2:12" ht="18.75" customHeight="1" thickBot="1" x14ac:dyDescent="0.3">
      <c r="B86" s="705"/>
      <c r="C86" s="685"/>
      <c r="D86" s="715"/>
      <c r="E86" s="712"/>
      <c r="F86" s="709"/>
      <c r="G86" s="676"/>
      <c r="H86" s="94">
        <f>IF(OR(F$83=tech!$A$5,K86=tech!$A$5),0,1)</f>
        <v>1</v>
      </c>
      <c r="I86" s="128" t="str">
        <f>Assessment!C167</f>
        <v>4.1.4.</v>
      </c>
      <c r="J86" s="129" t="str">
        <f>Assessment!D167</f>
        <v>Resources are periodically reviewed</v>
      </c>
      <c r="K86" s="76" t="s">
        <v>4</v>
      </c>
      <c r="L86" s="703"/>
    </row>
    <row r="87" spans="2:12" ht="18" customHeight="1" x14ac:dyDescent="0.25">
      <c r="B87" s="705"/>
      <c r="C87" s="683" t="str">
        <f>Assessment!C169</f>
        <v>4.2. Knowledge and Training</v>
      </c>
      <c r="D87" s="713" t="str">
        <f>VLOOKUP(LEFT(C87,4),source!$CV$4:$CW$23,2,0)</f>
        <v>Education of people and continuously gathering required knowledge and skills to manage PKI. Training plans and improvement.</v>
      </c>
      <c r="E87" s="710" t="s">
        <v>1448</v>
      </c>
      <c r="F87" s="707" t="s">
        <v>4</v>
      </c>
      <c r="G87" s="674" t="str">
        <f>IF(F87=tech!$A$5,tech!$A$9,IF(COUNTIF(H87:H91,0)&gt;0,tech!$A$10,tech!$A$8))</f>
        <v>Applicable</v>
      </c>
      <c r="H87" s="92">
        <f>IF(OR(F$87=tech!$A$5,K87=tech!$A$5),0,1)</f>
        <v>1</v>
      </c>
      <c r="I87" s="124" t="str">
        <f>Assessment!C173</f>
        <v>4.2.1.</v>
      </c>
      <c r="J87" s="125" t="str">
        <f>Assessment!D173</f>
        <v>Establish training plan</v>
      </c>
      <c r="K87" s="74" t="s">
        <v>4</v>
      </c>
      <c r="L87" s="701"/>
    </row>
    <row r="88" spans="2:12" ht="18" customHeight="1" x14ac:dyDescent="0.25">
      <c r="B88" s="705"/>
      <c r="C88" s="684"/>
      <c r="D88" s="714"/>
      <c r="E88" s="711"/>
      <c r="F88" s="708"/>
      <c r="G88" s="675"/>
      <c r="H88" s="93">
        <f>IF(OR(F$87=tech!$A$5,K88=tech!$A$5),0,1)</f>
        <v>1</v>
      </c>
      <c r="I88" s="126" t="str">
        <f>Assessment!C174</f>
        <v>4.2.2.</v>
      </c>
      <c r="J88" s="127" t="str">
        <f>Assessment!D174</f>
        <v>Responsible personnel receive training</v>
      </c>
      <c r="K88" s="75" t="s">
        <v>4</v>
      </c>
      <c r="L88" s="702"/>
    </row>
    <row r="89" spans="2:12" ht="18" customHeight="1" x14ac:dyDescent="0.25">
      <c r="B89" s="705"/>
      <c r="C89" s="684"/>
      <c r="D89" s="714"/>
      <c r="E89" s="711"/>
      <c r="F89" s="708"/>
      <c r="G89" s="675"/>
      <c r="H89" s="93">
        <f>IF(OR(F$87=tech!$A$5,K89=tech!$A$5),0,1)</f>
        <v>1</v>
      </c>
      <c r="I89" s="126" t="str">
        <f>Assessment!C175</f>
        <v>4.2.3.</v>
      </c>
      <c r="J89" s="127" t="str">
        <f>Assessment!D175</f>
        <v>Perform security awareness training</v>
      </c>
      <c r="K89" s="75" t="s">
        <v>4</v>
      </c>
      <c r="L89" s="702"/>
    </row>
    <row r="90" spans="2:12" ht="18" customHeight="1" x14ac:dyDescent="0.25">
      <c r="B90" s="705"/>
      <c r="C90" s="684"/>
      <c r="D90" s="714"/>
      <c r="E90" s="711"/>
      <c r="F90" s="708"/>
      <c r="G90" s="675"/>
      <c r="H90" s="93">
        <f>IF(OR(F$87=tech!$A$5,K90=tech!$A$5),0,1)</f>
        <v>1</v>
      </c>
      <c r="I90" s="126" t="str">
        <f>Assessment!C176</f>
        <v>4.2.4.</v>
      </c>
      <c r="J90" s="127" t="str">
        <f>Assessment!D176</f>
        <v>Establish education plan</v>
      </c>
      <c r="K90" s="75" t="s">
        <v>4</v>
      </c>
      <c r="L90" s="702"/>
    </row>
    <row r="91" spans="2:12" ht="18" customHeight="1" thickBot="1" x14ac:dyDescent="0.3">
      <c r="B91" s="705"/>
      <c r="C91" s="685"/>
      <c r="D91" s="715"/>
      <c r="E91" s="712"/>
      <c r="F91" s="709"/>
      <c r="G91" s="676"/>
      <c r="H91" s="94">
        <f>IF(OR(F$87=tech!$A$5,K91=tech!$A$5),0,1)</f>
        <v>1</v>
      </c>
      <c r="I91" s="128" t="str">
        <f>Assessment!C177</f>
        <v>4.2.5.</v>
      </c>
      <c r="J91" s="129" t="str">
        <f>Assessment!D177</f>
        <v>Periodically review knowledge</v>
      </c>
      <c r="K91" s="76" t="s">
        <v>4</v>
      </c>
      <c r="L91" s="703"/>
    </row>
    <row r="92" spans="2:12" ht="18.75" customHeight="1" x14ac:dyDescent="0.25">
      <c r="B92" s="705"/>
      <c r="C92" s="683" t="str">
        <f>Assessment!C179</f>
        <v>4.3. Awareness</v>
      </c>
      <c r="D92" s="680" t="str">
        <f>VLOOKUP(LEFT(C92,4),source!$CV$4:$CW$23,2,0)</f>
        <v>Providing awareness about the PKI in the organization and its purpose. Awareness how to apply the PKI in a trusted and secure way.</v>
      </c>
      <c r="E92" s="710" t="s">
        <v>1449</v>
      </c>
      <c r="F92" s="707" t="s">
        <v>4</v>
      </c>
      <c r="G92" s="674" t="str">
        <f>IF(F92=tech!$A$5,tech!$A$9,IF(COUNTIF(H92:H95,0)&gt;0,tech!$A$10,tech!$A$8))</f>
        <v>Applicable</v>
      </c>
      <c r="H92" s="92">
        <f>IF(OR(F$92=tech!$A$5,K92=tech!$A$5),0,1)</f>
        <v>1</v>
      </c>
      <c r="I92" s="130" t="str">
        <f>Assessment!C183</f>
        <v>4.3.1.</v>
      </c>
      <c r="J92" s="131" t="str">
        <f>Assessment!D183</f>
        <v>Establish and maintain awareness plan</v>
      </c>
      <c r="K92" s="134" t="s">
        <v>4</v>
      </c>
      <c r="L92" s="701"/>
    </row>
    <row r="93" spans="2:12" ht="18.75" customHeight="1" x14ac:dyDescent="0.25">
      <c r="B93" s="705"/>
      <c r="C93" s="684"/>
      <c r="D93" s="681"/>
      <c r="E93" s="711"/>
      <c r="F93" s="708"/>
      <c r="G93" s="675"/>
      <c r="H93" s="93">
        <f>IF(OR(F$92=tech!$A$5,K93=tech!$A$5),0,1)</f>
        <v>1</v>
      </c>
      <c r="I93" s="126" t="str">
        <f>Assessment!C184</f>
        <v>4.3.2.</v>
      </c>
      <c r="J93" s="127" t="str">
        <f>Assessment!D184</f>
        <v>Disclose PKI information</v>
      </c>
      <c r="K93" s="134" t="s">
        <v>4</v>
      </c>
      <c r="L93" s="702"/>
    </row>
    <row r="94" spans="2:12" ht="18.75" customHeight="1" x14ac:dyDescent="0.25">
      <c r="B94" s="705"/>
      <c r="C94" s="684"/>
      <c r="D94" s="681"/>
      <c r="E94" s="711"/>
      <c r="F94" s="708"/>
      <c r="G94" s="675"/>
      <c r="H94" s="93">
        <f>IF(OR(F$92=tech!$A$5,K94=tech!$A$5),0,1)</f>
        <v>1</v>
      </c>
      <c r="I94" s="126" t="str">
        <f>Assessment!C185</f>
        <v>4.3.3.</v>
      </c>
      <c r="J94" s="127" t="str">
        <f>Assessment!D185</f>
        <v>Establish single point of contact</v>
      </c>
      <c r="K94" s="134" t="s">
        <v>4</v>
      </c>
      <c r="L94" s="702"/>
    </row>
    <row r="95" spans="2:12" ht="18.75" customHeight="1" thickBot="1" x14ac:dyDescent="0.3">
      <c r="B95" s="706"/>
      <c r="C95" s="685"/>
      <c r="D95" s="682"/>
      <c r="E95" s="712"/>
      <c r="F95" s="709"/>
      <c r="G95" s="676"/>
      <c r="H95" s="94">
        <f>IF(OR(F$92=tech!$A$5,K95=tech!$A$5),0,1)</f>
        <v>1</v>
      </c>
      <c r="I95" s="128" t="str">
        <f>Assessment!C186</f>
        <v>4.3.4.</v>
      </c>
      <c r="J95" s="129" t="str">
        <f>Assessment!D186</f>
        <v>Timely communication of important information</v>
      </c>
      <c r="K95" s="76" t="s">
        <v>4</v>
      </c>
      <c r="L95" s="703"/>
    </row>
  </sheetData>
  <sheetProtection sheet="1" objects="1" scenarios="1"/>
  <protectedRanges>
    <protectedRange sqref="K10:L95" name="Requirements"/>
    <protectedRange sqref="F10:F95" name="Categories"/>
  </protectedRanges>
  <mergeCells count="101">
    <mergeCell ref="B2:C5"/>
    <mergeCell ref="D2:E4"/>
    <mergeCell ref="J4:L4"/>
    <mergeCell ref="J5:L5"/>
    <mergeCell ref="J3:L3"/>
    <mergeCell ref="E28:E33"/>
    <mergeCell ref="D28:D33"/>
    <mergeCell ref="C28:C33"/>
    <mergeCell ref="B10:B33"/>
    <mergeCell ref="F10:F15"/>
    <mergeCell ref="E10:E15"/>
    <mergeCell ref="D10:D15"/>
    <mergeCell ref="C10:C15"/>
    <mergeCell ref="F16:F21"/>
    <mergeCell ref="E16:E21"/>
    <mergeCell ref="D16:D21"/>
    <mergeCell ref="C16:C21"/>
    <mergeCell ref="F22:F27"/>
    <mergeCell ref="E22:E27"/>
    <mergeCell ref="D22:D27"/>
    <mergeCell ref="C22:C27"/>
    <mergeCell ref="L28:L33"/>
    <mergeCell ref="L22:L27"/>
    <mergeCell ref="L16:L21"/>
    <mergeCell ref="L10:L15"/>
    <mergeCell ref="F28:F33"/>
    <mergeCell ref="G28:G33"/>
    <mergeCell ref="B34:B58"/>
    <mergeCell ref="L53:L58"/>
    <mergeCell ref="L47:L52"/>
    <mergeCell ref="L40:L46"/>
    <mergeCell ref="L34:L39"/>
    <mergeCell ref="G47:G52"/>
    <mergeCell ref="G53:G58"/>
    <mergeCell ref="F34:F39"/>
    <mergeCell ref="E34:E39"/>
    <mergeCell ref="D34:D39"/>
    <mergeCell ref="C34:C39"/>
    <mergeCell ref="F53:F58"/>
    <mergeCell ref="E53:E58"/>
    <mergeCell ref="D53:D58"/>
    <mergeCell ref="C53:C58"/>
    <mergeCell ref="F47:F52"/>
    <mergeCell ref="B59:B82"/>
    <mergeCell ref="F77:F82"/>
    <mergeCell ref="E77:E82"/>
    <mergeCell ref="D77:D82"/>
    <mergeCell ref="C77:C82"/>
    <mergeCell ref="F71:F76"/>
    <mergeCell ref="E71:E76"/>
    <mergeCell ref="D71:D76"/>
    <mergeCell ref="C71:C76"/>
    <mergeCell ref="F65:F70"/>
    <mergeCell ref="E65:E70"/>
    <mergeCell ref="D65:D70"/>
    <mergeCell ref="C65:C70"/>
    <mergeCell ref="F59:F64"/>
    <mergeCell ref="E59:E64"/>
    <mergeCell ref="D59:D64"/>
    <mergeCell ref="L77:L82"/>
    <mergeCell ref="L71:L76"/>
    <mergeCell ref="L65:L70"/>
    <mergeCell ref="L59:L64"/>
    <mergeCell ref="G59:G64"/>
    <mergeCell ref="G65:G70"/>
    <mergeCell ref="G71:G76"/>
    <mergeCell ref="G77:G82"/>
    <mergeCell ref="B83:B95"/>
    <mergeCell ref="F87:F91"/>
    <mergeCell ref="E87:E91"/>
    <mergeCell ref="D87:D91"/>
    <mergeCell ref="C87:C91"/>
    <mergeCell ref="F83:F86"/>
    <mergeCell ref="E83:E86"/>
    <mergeCell ref="D83:D86"/>
    <mergeCell ref="C83:C86"/>
    <mergeCell ref="L92:L95"/>
    <mergeCell ref="L87:L91"/>
    <mergeCell ref="L83:L86"/>
    <mergeCell ref="F92:F95"/>
    <mergeCell ref="E92:E95"/>
    <mergeCell ref="G92:G95"/>
    <mergeCell ref="G87:G91"/>
    <mergeCell ref="G83:G86"/>
    <mergeCell ref="C8:G8"/>
    <mergeCell ref="I8:K8"/>
    <mergeCell ref="G10:G15"/>
    <mergeCell ref="G16:G21"/>
    <mergeCell ref="G22:G27"/>
    <mergeCell ref="G34:G39"/>
    <mergeCell ref="G40:G46"/>
    <mergeCell ref="D92:D95"/>
    <mergeCell ref="C92:C95"/>
    <mergeCell ref="C59:C64"/>
    <mergeCell ref="E47:E52"/>
    <mergeCell ref="D47:D52"/>
    <mergeCell ref="C47:C52"/>
    <mergeCell ref="F40:F46"/>
    <mergeCell ref="E40:E46"/>
    <mergeCell ref="D40:D46"/>
    <mergeCell ref="C40:C46"/>
  </mergeCells>
  <conditionalFormatting sqref="I10:J33">
    <cfRule type="expression" dxfId="95" priority="11">
      <formula>$H10=0</formula>
    </cfRule>
  </conditionalFormatting>
  <conditionalFormatting sqref="I34:J58">
    <cfRule type="expression" dxfId="94" priority="6">
      <formula>$H34=0</formula>
    </cfRule>
  </conditionalFormatting>
  <conditionalFormatting sqref="I59:J82">
    <cfRule type="expression" dxfId="93" priority="5">
      <formula>$H59=0</formula>
    </cfRule>
  </conditionalFormatting>
  <conditionalFormatting sqref="I83:J95">
    <cfRule type="expression" dxfId="92" priority="4">
      <formula>$H83=0</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86" id="{E0A61241-00D0-4816-9C63-7EB728B1D450}">
            <xm:f>AND(F10=tech!$A$5,F16=tech!$A$5,F22=tech!$A$5,F28=tech!$A$5)</xm:f>
            <x14:dxf>
              <font>
                <b/>
                <i val="0"/>
                <color theme="0" tint="-0.499984740745262"/>
              </font>
              <fill>
                <patternFill>
                  <bgColor theme="5" tint="0.59996337778862885"/>
                </patternFill>
              </fill>
            </x14:dxf>
          </x14:cfRule>
          <xm:sqref>B10</xm:sqref>
        </x14:conditionalFormatting>
        <x14:conditionalFormatting xmlns:xm="http://schemas.microsoft.com/office/excel/2006/main">
          <x14:cfRule type="expression" priority="94" id="{7FAD7FF1-87C9-4BE0-9F0F-72E25C1DF5E0}">
            <xm:f>AND(F34=tech!$A$5,F40=tech!$A$5,F47=tech!$A$5,F53=tech!$A$5)</xm:f>
            <x14:dxf>
              <font>
                <b/>
                <i val="0"/>
                <color theme="0" tint="-0.499984740745262"/>
              </font>
              <fill>
                <patternFill>
                  <bgColor theme="8" tint="0.59996337778862885"/>
                </patternFill>
              </fill>
            </x14:dxf>
          </x14:cfRule>
          <xm:sqref>B34</xm:sqref>
        </x14:conditionalFormatting>
        <x14:conditionalFormatting xmlns:xm="http://schemas.microsoft.com/office/excel/2006/main">
          <x14:cfRule type="expression" priority="100" id="{F4D6C9F4-598C-4B1B-968A-737C3B6D9DCE}">
            <xm:f>AND(F59=tech!$A$5,F65=tech!$A$5,F71=tech!$A$5,F77=tech!$A$5)</xm:f>
            <x14:dxf>
              <font>
                <b/>
                <i val="0"/>
                <color theme="0" tint="-0.499984740745262"/>
              </font>
              <fill>
                <patternFill>
                  <bgColor theme="7" tint="0.59996337778862885"/>
                </patternFill>
              </fill>
            </x14:dxf>
          </x14:cfRule>
          <xm:sqref>B59</xm:sqref>
        </x14:conditionalFormatting>
        <x14:conditionalFormatting xmlns:xm="http://schemas.microsoft.com/office/excel/2006/main">
          <x14:cfRule type="expression" priority="106" id="{698A44DB-5EBA-4648-A294-2931FBB2E90D}">
            <xm:f>AND(F83=tech!$A$5,F87=tech!$A$5,F92=tech!$A$5)</xm:f>
            <x14:dxf>
              <font>
                <b/>
                <i val="0"/>
                <color theme="0" tint="-0.499984740745262"/>
              </font>
              <fill>
                <patternFill>
                  <bgColor theme="9" tint="0.59996337778862885"/>
                </patternFill>
              </fill>
            </x14:dxf>
          </x14:cfRule>
          <xm:sqref>B83</xm:sqref>
        </x14:conditionalFormatting>
        <x14:conditionalFormatting xmlns:xm="http://schemas.microsoft.com/office/excel/2006/main">
          <x14:cfRule type="expression" priority="69" id="{EC7C11B1-7555-4C43-9279-0865724C99A6}">
            <xm:f>$F10=tech!$A$5</xm:f>
            <x14:dxf>
              <font>
                <color theme="0" tint="-0.499984740745262"/>
              </font>
              <fill>
                <patternFill>
                  <bgColor theme="5" tint="0.79998168889431442"/>
                </patternFill>
              </fill>
            </x14:dxf>
          </x14:cfRule>
          <xm:sqref>C10:E10 C16:E16 C22:E22 C28:E28</xm:sqref>
        </x14:conditionalFormatting>
        <x14:conditionalFormatting xmlns:xm="http://schemas.microsoft.com/office/excel/2006/main">
          <x14:cfRule type="expression" priority="71" id="{B1C27FB3-C65B-4C53-AF2E-ED9132510C29}">
            <xm:f>$F34=tech!$A$5</xm:f>
            <x14:dxf>
              <font>
                <color theme="0" tint="-0.499984740745262"/>
              </font>
              <fill>
                <patternFill>
                  <bgColor theme="8" tint="0.79998168889431442"/>
                </patternFill>
              </fill>
            </x14:dxf>
          </x14:cfRule>
          <xm:sqref>C34:E34 C40:E40 C47:E47 C53:E53</xm:sqref>
        </x14:conditionalFormatting>
        <x14:conditionalFormatting xmlns:xm="http://schemas.microsoft.com/office/excel/2006/main">
          <x14:cfRule type="expression" priority="73" id="{94627C76-4F14-48EB-9F15-FA808F74A389}">
            <xm:f>$F59=tech!$A$5</xm:f>
            <x14:dxf>
              <font>
                <color theme="0" tint="-0.499984740745262"/>
              </font>
              <fill>
                <patternFill>
                  <bgColor theme="7" tint="0.79998168889431442"/>
                </patternFill>
              </fill>
            </x14:dxf>
          </x14:cfRule>
          <xm:sqref>C59:E59 C65:E65 C71:E71 C77:E77</xm:sqref>
        </x14:conditionalFormatting>
        <x14:conditionalFormatting xmlns:xm="http://schemas.microsoft.com/office/excel/2006/main">
          <x14:cfRule type="expression" priority="75" id="{07633824-079D-4D97-A9E8-D1F23159965F}">
            <xm:f>$F83=tech!$A$5</xm:f>
            <x14:dxf>
              <font>
                <color theme="0" tint="-0.499984740745262"/>
              </font>
              <fill>
                <patternFill>
                  <bgColor theme="9" tint="0.79998168889431442"/>
                </patternFill>
              </fill>
            </x14:dxf>
          </x14:cfRule>
          <xm:sqref>C83:E83 C87:E87 C92:E92</xm:sqref>
        </x14:conditionalFormatting>
        <x14:conditionalFormatting xmlns:xm="http://schemas.microsoft.com/office/excel/2006/main">
          <x14:cfRule type="cellIs" priority="21" operator="equal" id="{8A9FF72A-4621-4DE0-B358-F0099F3B2A11}">
            <xm:f>tech!$A$4</xm:f>
            <x14:dxf>
              <fill>
                <patternFill>
                  <bgColor rgb="FFD4ECBA"/>
                </patternFill>
              </fill>
            </x14:dxf>
          </x14:cfRule>
          <xm:sqref>F10:F95 K10:K95</xm:sqref>
        </x14:conditionalFormatting>
        <x14:conditionalFormatting xmlns:xm="http://schemas.microsoft.com/office/excel/2006/main">
          <x14:cfRule type="cellIs" priority="7" operator="equal" id="{3B0484C5-A4BA-47AF-9F55-ACDA785C6693}">
            <xm:f>tech!$A$10</xm:f>
            <x14:dxf>
              <fill>
                <patternFill>
                  <bgColor rgb="FFFFEB9C"/>
                </patternFill>
              </fill>
            </x14:dxf>
          </x14:cfRule>
          <x14:cfRule type="cellIs" priority="8" operator="equal" id="{FC4CDFC2-B8B3-49AC-9985-4FF5855ADADF}">
            <xm:f>tech!$A$9</xm:f>
            <x14:dxf>
              <fill>
                <patternFill>
                  <bgColor rgb="FFFFC9C9"/>
                </patternFill>
              </fill>
            </x14:dxf>
          </x14:cfRule>
          <x14:cfRule type="cellIs" priority="9" operator="equal" id="{35BB3763-F6FA-4C9F-B021-C324DADF8247}">
            <xm:f>tech!$A$8</xm:f>
            <x14:dxf>
              <fill>
                <patternFill>
                  <bgColor rgb="FFD4ECBA"/>
                </patternFill>
              </fill>
            </x14:dxf>
          </x14:cfRule>
          <xm:sqref>G10:G95</xm:sqref>
        </x14:conditionalFormatting>
        <x14:conditionalFormatting xmlns:xm="http://schemas.microsoft.com/office/excel/2006/main">
          <x14:cfRule type="expression" priority="1" stopIfTrue="1" id="{82AB6363-0B24-4AE9-ADA4-00737F65C6EB}">
            <xm:f>Overview!$D$9:$E$9&lt;&gt;""</xm:f>
            <x14:dxf>
              <font>
                <b val="0"/>
                <i val="0"/>
                <color auto="1"/>
              </font>
              <fill>
                <patternFill>
                  <bgColor theme="0" tint="-4.9989318521683403E-2"/>
                </patternFill>
              </fill>
            </x14:dxf>
          </x14:cfRule>
          <x14:cfRule type="expression" priority="107" id="{66E16315-4D75-4B02-8AC1-555377307A4A}">
            <xm:f>TODAY()&gt;Overview!D8</xm:f>
            <x14:dxf>
              <font>
                <b/>
                <i val="0"/>
                <color theme="0"/>
              </font>
              <fill>
                <patternFill>
                  <bgColor rgb="FFC00000"/>
                </patternFill>
              </fill>
            </x14:dxf>
          </x14:cfRule>
          <x14:cfRule type="expression" priority="108" id="{8D747C78-FB65-4A2D-B751-EE4D926A7974}">
            <xm:f>AND(TODAY()&lt;Overview!D8,(Overview!D8-TODAY())&lt;tech!$H$10)</xm:f>
            <x14:dxf>
              <font>
                <b/>
                <i val="0"/>
                <color rgb="FFC00000"/>
              </font>
            </x14:dxf>
          </x14:cfRule>
          <xm:sqref>J4:L4</xm:sqref>
        </x14:conditionalFormatting>
        <x14:conditionalFormatting xmlns:xm="http://schemas.microsoft.com/office/excel/2006/main">
          <x14:cfRule type="cellIs" priority="20" operator="equal" id="{4D59D97E-F351-4937-9E00-C2900A1C4150}">
            <xm:f>tech!$A$5</xm:f>
            <x14:dxf>
              <font>
                <color auto="1"/>
              </font>
              <fill>
                <patternFill>
                  <bgColor rgb="FFFFC9C9"/>
                </patternFill>
              </fill>
            </x14:dxf>
          </x14:cfRule>
          <xm:sqref>K10:K95 F10:F95</xm:sqref>
        </x14:conditionalFormatting>
        <x14:conditionalFormatting xmlns:xm="http://schemas.microsoft.com/office/excel/2006/main">
          <x14:cfRule type="expression" priority="10" id="{7AEAB82B-B2B3-410A-8334-84F1D0154CAC}">
            <xm:f>AND(H10=0,K10=tech!$A$4)</xm:f>
            <x14:dxf>
              <font>
                <color rgb="FFFFC9C9"/>
              </font>
              <fill>
                <patternFill>
                  <bgColor rgb="FFFFC9C9"/>
                </patternFill>
              </fill>
            </x14:dxf>
          </x14:cfRule>
          <xm:sqref>K10:K95</xm:sqref>
        </x14:conditionalFormatting>
        <x14:conditionalFormatting xmlns:xm="http://schemas.microsoft.com/office/excel/2006/main">
          <x14:cfRule type="cellIs" priority="12" operator="equal" id="{60231316-0615-48DD-985F-EEFF36457FC1}">
            <xm:f>tech!$A$5</xm:f>
            <x14:dxf>
              <font>
                <color auto="1"/>
              </font>
              <fill>
                <patternFill>
                  <bgColor rgb="FFFFC9C9"/>
                </patternFill>
              </fill>
            </x14:dxf>
          </x14:cfRule>
          <x14:cfRule type="cellIs" priority="13" operator="equal" id="{5447E132-C60C-438B-BFF5-C6B05BC95F7A}">
            <xm:f>tech!$A$4</xm:f>
            <x14:dxf>
              <fill>
                <patternFill>
                  <bgColor rgb="FFD4ECBA"/>
                </patternFill>
              </fill>
            </x14:dxf>
          </x14:cfRule>
          <xm:sqref>K93:K95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21DA7F6-FB58-4BB6-AC2E-A2482D85D347}">
          <x14:formula1>
            <xm:f>tech!$A$4:$A$5</xm:f>
          </x14:formula1>
          <xm:sqref>F16 F22 F28 F40 F47 F34 F53 F65 F77 F71 F59 F92 F83 F87 F10 K10:K95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C5B3-60E4-4060-9C0E-BC951F527FEB}">
  <dimension ref="B1:O186"/>
  <sheetViews>
    <sheetView showGridLines="0" tabSelected="1" zoomScale="80" zoomScaleNormal="80" workbookViewId="0">
      <pane ySplit="6" topLeftCell="A7" activePane="bottomLeft" state="frozen"/>
      <selection pane="bottomLeft" activeCell="D186" sqref="D186"/>
    </sheetView>
  </sheetViews>
  <sheetFormatPr defaultColWidth="8.85546875" defaultRowHeight="15" x14ac:dyDescent="0.25"/>
  <cols>
    <col min="1" max="1" width="2.85546875" customWidth="1"/>
    <col min="2" max="2" width="9.140625" hidden="1" customWidth="1"/>
    <col min="3" max="3" width="6.85546875" customWidth="1"/>
    <col min="4" max="4" width="65.7109375" customWidth="1"/>
    <col min="5" max="5" width="7.42578125" customWidth="1"/>
    <col min="6" max="6" width="7.42578125" hidden="1" customWidth="1"/>
    <col min="7" max="7" width="82.85546875" customWidth="1"/>
    <col min="8" max="8" width="74.28515625" customWidth="1"/>
    <col min="9" max="13" width="17.28515625" customWidth="1"/>
    <col min="14" max="14" width="12" hidden="1" customWidth="1"/>
    <col min="15" max="15" width="9.140625" hidden="1" customWidth="1"/>
    <col min="19" max="19" width="9.140625" customWidth="1"/>
  </cols>
  <sheetData>
    <row r="1" spans="2:15" ht="15.75" thickBot="1" x14ac:dyDescent="0.3"/>
    <row r="2" spans="2:15" x14ac:dyDescent="0.25">
      <c r="C2" s="150"/>
      <c r="D2" s="838" t="s">
        <v>8</v>
      </c>
      <c r="E2" s="146"/>
      <c r="F2" s="146"/>
      <c r="G2" s="733" t="str">
        <f>Overview!D5</f>
        <v>Cool PKI</v>
      </c>
      <c r="H2" s="151"/>
      <c r="I2" s="768" t="s">
        <v>152</v>
      </c>
      <c r="J2" s="769"/>
      <c r="K2" s="769"/>
      <c r="L2" s="769"/>
      <c r="M2" s="770"/>
    </row>
    <row r="3" spans="2:15" x14ac:dyDescent="0.25">
      <c r="C3" s="152"/>
      <c r="D3" s="839"/>
      <c r="E3" s="144"/>
      <c r="F3" s="144"/>
      <c r="G3" s="734"/>
      <c r="H3" s="153" t="str">
        <f ca="1">_xlfn.CONCAT("Duration of the assessment: ",TODAY()-Overview!D7," days     ")</f>
        <v xml:space="preserve">Duration of the assessment: 321 days     </v>
      </c>
      <c r="I3" s="771"/>
      <c r="J3" s="772"/>
      <c r="K3" s="772"/>
      <c r="L3" s="772"/>
      <c r="M3" s="773"/>
    </row>
    <row r="4" spans="2:15" x14ac:dyDescent="0.25">
      <c r="C4" s="152"/>
      <c r="D4" s="839"/>
      <c r="E4" s="144"/>
      <c r="F4" s="144"/>
      <c r="G4" s="734"/>
      <c r="H4" s="153" t="str">
        <f ca="1">IF(Overview!D9&lt;&gt;"","The assessment has been finished     ",IF(Overview!D8&gt;=TODAY(),_xlfn.CONCAT("Remaining time to the target date: ",Overview!D8-TODAY()," days     "),_xlfn.CONCAT("Overrunning the target date by: ",TODAY()-Overview!D8," days     ")))</f>
        <v xml:space="preserve">The assessment has been finished     </v>
      </c>
      <c r="I4" s="157" t="s">
        <v>47</v>
      </c>
      <c r="J4" s="145" t="s">
        <v>48</v>
      </c>
      <c r="K4" s="145" t="s">
        <v>49</v>
      </c>
      <c r="L4" s="145" t="s">
        <v>50</v>
      </c>
      <c r="M4" s="158" t="s">
        <v>51</v>
      </c>
    </row>
    <row r="5" spans="2:15" ht="15.75" thickBot="1" x14ac:dyDescent="0.3">
      <c r="C5" s="154"/>
      <c r="D5" s="840"/>
      <c r="E5" s="148"/>
      <c r="F5" s="148"/>
      <c r="G5" s="155" t="str">
        <f>Overview!D6</f>
        <v>3Key Company</v>
      </c>
      <c r="H5" s="156" t="str">
        <f>_xlfn.CONCAT("Name of responsible assessor: ",Overview!L7,"     ")</f>
        <v xml:space="preserve">Name of responsible assessor: Franta Hrábě     </v>
      </c>
      <c r="I5" s="159">
        <f>IF($N$6=0,$N$7-$N$6,IF($N$6&gt;0,1,0))</f>
        <v>1</v>
      </c>
      <c r="J5" s="160">
        <f>IF($N$6=1,$N$7-$N$6,IF($N$6&gt;1,1,0))</f>
        <v>1</v>
      </c>
      <c r="K5" s="160">
        <f>IF($N$6=2,$N$7-$N$6,IF($N$6&gt;2,1,0))</f>
        <v>0.86278837557936416</v>
      </c>
      <c r="L5" s="160">
        <f>IF($N$6=3,$N$7-$N$6,IF($N$6&gt;3,1,0))</f>
        <v>0</v>
      </c>
      <c r="M5" s="161">
        <f>IF($N$6=4,$N$7-$N$6,IF($N$6&gt;4,1,0))</f>
        <v>0</v>
      </c>
    </row>
    <row r="6" spans="2:15" ht="15.75" thickBot="1" x14ac:dyDescent="0.3">
      <c r="C6" s="289" t="s">
        <v>10</v>
      </c>
      <c r="D6" s="289" t="s">
        <v>9</v>
      </c>
      <c r="E6" s="289" t="s">
        <v>1</v>
      </c>
      <c r="F6" s="289" t="s">
        <v>55</v>
      </c>
      <c r="G6" s="289" t="s">
        <v>7</v>
      </c>
      <c r="H6" s="289" t="s">
        <v>8</v>
      </c>
      <c r="I6" s="289" t="s">
        <v>141</v>
      </c>
      <c r="J6" s="289" t="s">
        <v>11</v>
      </c>
      <c r="K6" s="289"/>
      <c r="L6" s="289" t="s">
        <v>151</v>
      </c>
      <c r="M6" s="289"/>
      <c r="N6">
        <f>TRUNC(N7,0)</f>
        <v>2</v>
      </c>
      <c r="O6" t="str">
        <f>VLOOKUP(N6,tech!$A$21:$B$26,2,0)</f>
        <v>Basic</v>
      </c>
    </row>
    <row r="7" spans="2:15" ht="15.75" thickBot="1" x14ac:dyDescent="0.3">
      <c r="N7">
        <f>(SUM(E13,E24,E35,E46)*N10+SUM(E62,E73,E85,E96)*N59+SUM(E112,E123,E134,E145)*N109+SUM(E161,E170,E180)*N158)/SUM(E13,E24,E35,E46,E62,E73,E85,E96,E112,E123,E134,E145,E161,E170,E180)</f>
        <v>2.8627883755793642</v>
      </c>
    </row>
    <row r="8" spans="2:15" ht="15" customHeight="1" x14ac:dyDescent="0.25">
      <c r="C8" s="859" t="s">
        <v>17</v>
      </c>
      <c r="D8" s="860"/>
      <c r="E8" s="860"/>
      <c r="F8" s="832" t="str">
        <f>IF(AND(B13=0,B24=0,B35=0,B46=0),tech!$A$9,"")</f>
        <v/>
      </c>
      <c r="G8" s="832"/>
      <c r="H8" s="832"/>
      <c r="I8" s="832"/>
      <c r="J8" s="832"/>
      <c r="K8" s="832"/>
      <c r="L8" s="832"/>
      <c r="M8" s="833"/>
    </row>
    <row r="9" spans="2:15" ht="15" customHeight="1" x14ac:dyDescent="0.25">
      <c r="C9" s="861"/>
      <c r="D9" s="862"/>
      <c r="E9" s="862"/>
      <c r="F9" s="834"/>
      <c r="G9" s="834"/>
      <c r="H9" s="834"/>
      <c r="I9" s="834"/>
      <c r="J9" s="834"/>
      <c r="K9" s="834"/>
      <c r="L9" s="834"/>
      <c r="M9" s="835"/>
      <c r="N9">
        <f>IF(SUM(E13,E24,E35,E46)=0,0,TRUNC((IF(B13=0,0,SUM(N16:N21)/SUM(E16:E21)*E13)+IF(B24=0,0,SUM(N27:N32)/SUM(E27:E32)*E24)+IF(B35=0,0,SUM(N38:N43)/SUM(E38:E43)*E35)+IF(B46=0,0,SUM(N49:N54)/SUM(E49:E54)*E46))/SUM(E13,E24,E35,E46),0))</f>
        <v>2</v>
      </c>
    </row>
    <row r="10" spans="2:15" ht="15.75" customHeight="1" thickBot="1" x14ac:dyDescent="0.3">
      <c r="C10" s="863"/>
      <c r="D10" s="864"/>
      <c r="E10" s="864"/>
      <c r="F10" s="836"/>
      <c r="G10" s="836"/>
      <c r="H10" s="836"/>
      <c r="I10" s="836"/>
      <c r="J10" s="836"/>
      <c r="K10" s="836"/>
      <c r="L10" s="836"/>
      <c r="M10" s="837"/>
      <c r="N10">
        <f>IF(SUM(E13,E24,E35,E46)=0,0,(IF(B13=0,0,SUM(N16:N21)/SUM(E16:E21)*E13)+IF(B24=0,0,SUM(N27:N32)/SUM(E27:E32)*E24)+IF(B35=0,0,SUM(N38:N43)/SUM(E38:E43)*E35)+IF(B46=0,0,SUM(N49:N54)/SUM(E49:E54)*E46))/SUM(E13,E24,E35,E46))</f>
        <v>2.0084033613445378</v>
      </c>
    </row>
    <row r="11" spans="2:15" ht="15.75" thickBot="1" x14ac:dyDescent="0.3"/>
    <row r="12" spans="2:15" ht="15" customHeight="1" x14ac:dyDescent="0.25">
      <c r="C12" s="812" t="str">
        <f>tech!A117</f>
        <v>1.1. Strategy and vision</v>
      </c>
      <c r="D12" s="813"/>
      <c r="E12" s="184" t="s">
        <v>1</v>
      </c>
      <c r="F12" s="825" t="str">
        <f>IF(B13=0,tech!$A$9,"")</f>
        <v/>
      </c>
      <c r="G12" s="825"/>
      <c r="H12" s="825"/>
      <c r="I12" s="825"/>
      <c r="J12" s="825"/>
      <c r="K12" s="825"/>
      <c r="L12" s="825"/>
      <c r="M12" s="826"/>
    </row>
    <row r="13" spans="2:15" ht="15" customHeight="1" x14ac:dyDescent="0.25">
      <c r="B13">
        <f>IF(Scoping!F10=tech!$A$5,0,1)</f>
        <v>1</v>
      </c>
      <c r="C13" s="814"/>
      <c r="D13" s="815"/>
      <c r="E13" s="136">
        <f>VLOOKUP(C12,tech!$A$117:$B$131,2,0)*B13</f>
        <v>5</v>
      </c>
      <c r="F13" s="827"/>
      <c r="G13" s="827"/>
      <c r="H13" s="827"/>
      <c r="I13" s="827"/>
      <c r="J13" s="827"/>
      <c r="K13" s="827"/>
      <c r="L13" s="827"/>
      <c r="M13" s="828"/>
      <c r="N13">
        <f>IF(SUM(B16:B21)=0,0,TRUNC(SUM(N16:N21)/SUM(E16:E21),0))</f>
        <v>1</v>
      </c>
    </row>
    <row r="14" spans="2:15" ht="15.75" thickBot="1" x14ac:dyDescent="0.3">
      <c r="C14" s="829"/>
      <c r="D14" s="830"/>
      <c r="E14" s="830"/>
      <c r="F14" s="830"/>
      <c r="G14" s="830"/>
      <c r="H14" s="830"/>
      <c r="I14" s="830"/>
      <c r="J14" s="830"/>
      <c r="K14" s="830"/>
      <c r="L14" s="830"/>
      <c r="M14" s="831"/>
    </row>
    <row r="15" spans="2:15" ht="15.75" thickBot="1" x14ac:dyDescent="0.3">
      <c r="C15" s="55" t="s">
        <v>10</v>
      </c>
      <c r="D15" s="56" t="s">
        <v>9</v>
      </c>
      <c r="E15" s="57" t="s">
        <v>1</v>
      </c>
      <c r="F15" s="58" t="s">
        <v>55</v>
      </c>
      <c r="G15" s="58" t="s">
        <v>7</v>
      </c>
      <c r="H15" s="59" t="s">
        <v>8</v>
      </c>
      <c r="I15" s="188" t="s">
        <v>141</v>
      </c>
      <c r="J15" s="785" t="s">
        <v>11</v>
      </c>
      <c r="K15" s="786"/>
      <c r="L15" s="786" t="s">
        <v>151</v>
      </c>
      <c r="M15" s="787"/>
    </row>
    <row r="16" spans="2:15" ht="135" customHeight="1" x14ac:dyDescent="0.25">
      <c r="B16">
        <f>IF(B$13=0,0,IF(F16=tech!$B$9,0,1))</f>
        <v>1</v>
      </c>
      <c r="C16" s="60" t="s">
        <v>22</v>
      </c>
      <c r="D16" s="63" t="str">
        <f>IFERROR(VLOOKUP(C16,source!$J$4:$L$13,3,0),"")</f>
        <v>Organizational sponsor and support</v>
      </c>
      <c r="E16" s="64">
        <f>IFERROR(VLOOKUP(C16,source!$J$4:$L$13,2,0),0)*B16</f>
        <v>3</v>
      </c>
      <c r="F16" s="22" t="str">
        <f>IF(Scoping!K10=tech!$A$5,tech!$B$9,"")</f>
        <v/>
      </c>
      <c r="G16" s="22" t="str" cm="1">
        <f t="array" ref="G16">_xlfn.TEXTJOIN(CHAR(10),0,_xlfn._xlws.FILTER(source!$M$15:$M$300,source!$L$15:$L$300=_xlfn.CONCAT($C16,LEFT(G$15,1),"Y"),""))</f>
        <v>The success of the PKI implementation highly depends on the organization top management support. Top management typically also acts as a sponsor of the PKI, meaning that they allocate and approve budget needed to build and maintain the PKI.
The basic assumption is that the established digital trust is going to be maintained and developed for years, and therefore it is important to have a long-term vision and strategy for the PKI. The strategy and vision should be aligned with the overall organizational goals and approach.</v>
      </c>
      <c r="H16" s="34" t="str" cm="1">
        <f t="array" ref="H16">_xlfn.TEXTJOIN(CHAR(10),0,_xlfn._xlws.FILTER(source!$M$15:$M$300,source!$L$15:$L$300=_xlfn.CONCAT($C16,LEFT(H$15,1),"Y"),""))</f>
        <v>The following is sample evidence that can be used to assess the requirement:
• Interview with the top management
• Documented strategy and vision
• Documented organizational goals and approach
• Understanding of why the PKI is needed and what is the value for the organization
• Support and sponsorship of the top management</v>
      </c>
      <c r="I16" s="189" t="s">
        <v>47</v>
      </c>
      <c r="J16" s="781"/>
      <c r="K16" s="782"/>
      <c r="L16" s="782"/>
      <c r="M16" s="783"/>
      <c r="N16">
        <f>IF(I16="",0,VLOOKUP(I16,tech!$A$13:$B$17,2,0))*E16</f>
        <v>3</v>
      </c>
      <c r="O16" t="str">
        <f>IF(D16="","",IF(B16=0,tech!$B$9,IF(AND(B16=1,N16=0),tech!$B$21,I16)))</f>
        <v>Initial</v>
      </c>
    </row>
    <row r="17" spans="2:15" ht="90" x14ac:dyDescent="0.25">
      <c r="B17">
        <f>IF(B$13=0,0,IF(F17=tech!$B$9,0,1))</f>
        <v>1</v>
      </c>
      <c r="C17" s="61" t="s">
        <v>23</v>
      </c>
      <c r="D17" s="65" t="str">
        <f>IFERROR(VLOOKUP(C17,source!$J$4:$L$13,3,0),"")</f>
        <v>Formal assignment of responsible leadership</v>
      </c>
      <c r="E17" s="66">
        <f>IFERROR(VLOOKUP(C17,source!$J$4:$L$13,2,0),0)*B17</f>
        <v>2</v>
      </c>
      <c r="F17" s="12" t="str">
        <f>IF(Scoping!K11=tech!$A$5,tech!$B$9,"")</f>
        <v/>
      </c>
      <c r="G17" s="12" t="str" cm="1">
        <f t="array" ref="G17">_xlfn.TEXTJOIN(CHAR(10),0,_xlfn._xlws.FILTER(source!$M$15:$M$300,source!$L$15:$L$300=_xlfn.CONCAT($C17,LEFT(G$15,1),"Y"),""))</f>
        <v>Proper leadership and responsible person should be assigned by the management to fulfil the role for the establishment, maintenance, and development of the PKI according to the strategy and vision. The responsible person should be able to make decisions and take actions to ensure the PKI is aligned with the organizational goals and needs.</v>
      </c>
      <c r="H17" s="35" t="str" cm="1">
        <f t="array" ref="H17">_xlfn.TEXTJOIN(CHAR(10),0,_xlfn._xlws.FILTER(source!$M$15:$M$300,source!$L$15:$L$300=_xlfn.CONCAT($C17,LEFT(H$15,1),"Y"),""))</f>
        <v>The formal assignment of the responsible person should be documented and approved by the management. Formal document should contains identification of the person and understanding of the role and responsibilities.
Interview with the responsible person should confirm the understanding of the role and responsibilities, driving the PKI implementation according to the organizational strategy.</v>
      </c>
      <c r="I17" s="190" t="s">
        <v>47</v>
      </c>
      <c r="J17" s="774"/>
      <c r="K17" s="594"/>
      <c r="L17" s="594"/>
      <c r="M17" s="595"/>
      <c r="N17">
        <f>IF(I17="",0,VLOOKUP(I17,tech!$A$13:$B$17,2,0))*E17</f>
        <v>2</v>
      </c>
      <c r="O17" t="str">
        <f>IF(D17="","",IF(B17=0,tech!$B$9,IF(AND(B17=1,N17=0),tech!$B$21,I17)))</f>
        <v>Initial</v>
      </c>
    </row>
    <row r="18" spans="2:15" ht="180" customHeight="1" x14ac:dyDescent="0.25">
      <c r="B18">
        <f>IF(B$13=0,0,IF(F18=tech!$B$9,0,1))</f>
        <v>1</v>
      </c>
      <c r="C18" s="61" t="s">
        <v>24</v>
      </c>
      <c r="D18" s="65" t="str">
        <f>IFERROR(VLOOKUP(C18,source!$J$4:$L$13,3,0),"")</f>
        <v>Scope and business drivers for PKI</v>
      </c>
      <c r="E18" s="66">
        <f>IFERROR(VLOOKUP(C18,source!$J$4:$L$13,2,0),0)*B18</f>
        <v>2</v>
      </c>
      <c r="F18" s="12" t="str">
        <f>IF(Scoping!K12=tech!$A$5,tech!$B$9,"")</f>
        <v/>
      </c>
      <c r="G18" s="12" t="str" cm="1">
        <f t="array" ref="G18">_xlfn.TEXTJOIN(CHAR(10),0,_xlfn._xlws.FILTER(source!$M$15:$M$300,source!$L$15:$L$300=_xlfn.CONCAT($C18,LEFT(G$15,1),"Y"),""))</f>
        <v>The scope of the PKI should be clearly defined and documented. The scope should be defined in terms of the use-cases that the PKI is going to support. Each use-case can have a different requirements and therefore different strategy. The use-cases should be defined in terms of the business drivers that are going to be supported by the PKI. Business drivers helps to document alignment with the overall organizational goals.
The scope and business drivers can be considered as a formal high-level overview of the PKI strategy and vision.
Its purpose is also to create a common understanding of the organizational PKI and to provide direction for the detailed design and implementation.
The target audience consists typically of architects, experts, advisors, management, and sponsors.</v>
      </c>
      <c r="H18" s="35" t="str" cm="1">
        <f t="array" ref="H18">_xlfn.TEXTJOIN(CHAR(10),0,_xlfn._xlws.FILTER(source!$M$15:$M$300,source!$L$15:$L$300=_xlfn.CONCAT($C18,LEFT(H$15,1),"Y"),""))</f>
        <v>The following is sample evidence that can be used to assess the requirement:
• Documented scope of the PKI
• Documented business drivers
• Documented use-cases
• Documented alignment with the organizational goals</v>
      </c>
      <c r="I18" s="190" t="s">
        <v>47</v>
      </c>
      <c r="J18" s="774"/>
      <c r="K18" s="594"/>
      <c r="L18" s="594"/>
      <c r="M18" s="595"/>
      <c r="N18">
        <f>IF(I18="",0,VLOOKUP(I18,tech!$A$13:$B$17,2,0))*E18</f>
        <v>2</v>
      </c>
      <c r="O18" t="str">
        <f>IF(D18="","",IF(B18=0,tech!$B$9,IF(AND(B18=1,N18=0),tech!$B$21,I18)))</f>
        <v>Initial</v>
      </c>
    </row>
    <row r="19" spans="2:15" ht="300.75" thickBot="1" x14ac:dyDescent="0.3">
      <c r="B19">
        <f>IF(B$13=0,0,IF(F19=tech!$B$9,0,1))</f>
        <v>1</v>
      </c>
      <c r="C19" s="62" t="s">
        <v>25</v>
      </c>
      <c r="D19" s="67" t="str">
        <f>IFERROR(VLOOKUP(C19,source!$J$4:$L$13,3,0),"")</f>
        <v>Architecture and design of the PKI</v>
      </c>
      <c r="E19" s="68">
        <f>IFERROR(VLOOKUP(C19,source!$J$4:$L$13,2,0),0)*B19</f>
        <v>1</v>
      </c>
      <c r="F19" s="13" t="str">
        <f>IF(Scoping!K13=tech!$A$5,tech!$B$9,"")</f>
        <v/>
      </c>
      <c r="G19" s="13" t="str" cm="1">
        <f t="array" ref="G19">_xlfn.TEXTJOIN(CHAR(10),0,_xlfn._xlws.FILTER(source!$M$15:$M$300,source!$L$15:$L$300=_xlfn.CONCAT($C19,LEFT(G$15,1),"Y"),""))</f>
        <v>The architecture and design of the PKI should be documented to provide a clear understanding of the implementation and technologies that are involved. The architecture and design should be aligned with the scope and business drivers for the PKI and should be reviewed and updated regularly.
The architecture and design typically consists of the following:
• Functional and technical design description
• description of logical components
• Network infrastructure design
• Technology involved
• Integration requirements and interfaces (APIs)
• Support systems (such as IAM, logging, monitoring, etc.)
• operational requirements
• Security requirements
• Deployment options
• Staging and testing
The architecture and design are further used for the implementation of the PKI and serves as an input for the PKI team. It can be also used for the procurement of the PKI components and services that are needed for the implementation.</v>
      </c>
      <c r="H19" s="36" t="str" cm="1">
        <f t="array" ref="H19">_xlfn.TEXTJOIN(CHAR(10),0,_xlfn._xlws.FILTER(source!$M$15:$M$300,source!$L$15:$L$300=_xlfn.CONCAT($C19,LEFT(H$15,1),"Y"),""))</f>
        <v>The following is sample evidence that can be used to assess the requirement:
• Documented architecture and design
• alignment with the scope and business drivers
• Interview with the PKI team to confirm the Understanding of the architecture and design</v>
      </c>
      <c r="I19" s="191" t="s">
        <v>47</v>
      </c>
      <c r="J19" s="775"/>
      <c r="K19" s="776"/>
      <c r="L19" s="776"/>
      <c r="M19" s="777"/>
      <c r="N19">
        <f>IF(I19="",0,VLOOKUP(I19,tech!$A$13:$B$17,2,0))*E19</f>
        <v>1</v>
      </c>
      <c r="O19" t="str">
        <f>IF(D19="","",IF(B19=0,tech!$B$9,IF(AND(B19=1,N19=0),tech!$B$21,I19)))</f>
        <v>Initial</v>
      </c>
    </row>
    <row r="20" spans="2:15" ht="18.75" hidden="1" x14ac:dyDescent="0.25">
      <c r="B20">
        <f>IF(B$13=0,0,IF(F20=tech!$B$9,0,1))</f>
        <v>1</v>
      </c>
      <c r="C20" s="60" t="s">
        <v>26</v>
      </c>
      <c r="D20" s="63" t="str">
        <f>IFERROR(VLOOKUP(C20,source!$J$4:$L$13,3,0),"")</f>
        <v/>
      </c>
      <c r="E20" s="64">
        <f>IFERROR(VLOOKUP(C20,source!$J$4:$L$13,2,0),0)*B20</f>
        <v>0</v>
      </c>
      <c r="F20" s="22" t="str">
        <f>IF(Scoping!K14=tech!$A$5,tech!$B$9,"")</f>
        <v/>
      </c>
      <c r="G20" s="22" t="str" cm="1">
        <f t="array" ref="G20">_xlfn.TEXTJOIN(CHAR(10),0,_xlfn._xlws.FILTER(source!$M$15:$M$300,source!$L$15:$L$300=_xlfn.CONCAT($C20,LEFT(G$15,1),"Y"),""))</f>
        <v/>
      </c>
      <c r="H20" s="34" t="str" cm="1">
        <f t="array" ref="H20">_xlfn.TEXTJOIN(CHAR(10),0,_xlfn._xlws.FILTER(source!$M$15:$M$300,source!$L$15:$L$300=_xlfn.CONCAT($C20,LEFT(H$15,1),"Y"),""))</f>
        <v/>
      </c>
      <c r="I20" s="189"/>
      <c r="J20" s="784"/>
      <c r="K20" s="592"/>
      <c r="L20" s="592"/>
      <c r="M20" s="593"/>
      <c r="N20">
        <f>IF(I20="",0,VLOOKUP(I20,tech!$A$13:$B$17,2,0))*E20</f>
        <v>0</v>
      </c>
      <c r="O20" t="str">
        <f>IF(D20="","",IF(B20=0,tech!$B$9,IF(AND(B20=1,N20=0),tech!$B$21,I20)))</f>
        <v/>
      </c>
    </row>
    <row r="21" spans="2:15" ht="19.5" hidden="1" thickBot="1" x14ac:dyDescent="0.3">
      <c r="B21">
        <f>IF(B$13=0,0,IF(F21=tech!$B$9,0,1))</f>
        <v>1</v>
      </c>
      <c r="C21" s="62" t="s">
        <v>27</v>
      </c>
      <c r="D21" s="67" t="str">
        <f>IFERROR(VLOOKUP(C21,source!$J$4:$L$13,3,0),"")</f>
        <v/>
      </c>
      <c r="E21" s="68">
        <f>IFERROR(VLOOKUP(C21,source!$J$4:$L$13,2,0),0)*B21</f>
        <v>0</v>
      </c>
      <c r="F21" s="13" t="str">
        <f>IF(Scoping!K15=tech!$A$5,tech!$B$9,"")</f>
        <v/>
      </c>
      <c r="G21" s="13" t="str" cm="1">
        <f t="array" ref="G21">_xlfn.TEXTJOIN(CHAR(10),0,_xlfn._xlws.FILTER(source!$M$15:$M$300,source!$L$15:$L$300=_xlfn.CONCAT($C21,LEFT(G$15,1),"Y"),""))</f>
        <v/>
      </c>
      <c r="H21" s="36" t="str" cm="1">
        <f t="array" ref="H21">_xlfn.TEXTJOIN(CHAR(10),0,_xlfn._xlws.FILTER(source!$M$15:$M$300,source!$L$15:$L$300=_xlfn.CONCAT($C21,LEFT(H$15,1),"Y"),""))</f>
        <v/>
      </c>
      <c r="I21" s="191"/>
      <c r="J21" s="775"/>
      <c r="K21" s="776"/>
      <c r="L21" s="776"/>
      <c r="M21" s="777"/>
      <c r="N21">
        <f>IF(I21="",0,VLOOKUP(I21,tech!$A$13:$B$17,2,0))*E21</f>
        <v>0</v>
      </c>
      <c r="O21" t="str">
        <f>IF(D21="","",IF(B21=0,tech!$B$9,IF(AND(B21=1,N21=0),tech!$B$21,I21)))</f>
        <v/>
      </c>
    </row>
    <row r="22" spans="2:15" ht="15.75" thickBot="1" x14ac:dyDescent="0.3"/>
    <row r="23" spans="2:15" ht="15" customHeight="1" x14ac:dyDescent="0.25">
      <c r="C23" s="812" t="str">
        <f>tech!A118</f>
        <v>1.2. Policies and documentation</v>
      </c>
      <c r="D23" s="813"/>
      <c r="E23" s="184" t="s">
        <v>1</v>
      </c>
      <c r="F23" s="825" t="str">
        <f>IF(B24=0,tech!$A$9,"")</f>
        <v/>
      </c>
      <c r="G23" s="825"/>
      <c r="H23" s="825"/>
      <c r="I23" s="825"/>
      <c r="J23" s="825"/>
      <c r="K23" s="825"/>
      <c r="L23" s="825"/>
      <c r="M23" s="826"/>
    </row>
    <row r="24" spans="2:15" ht="15" customHeight="1" x14ac:dyDescent="0.25">
      <c r="B24">
        <f>IF(Scoping!F16=tech!$A$5,0,1)</f>
        <v>1</v>
      </c>
      <c r="C24" s="814"/>
      <c r="D24" s="815"/>
      <c r="E24" s="136">
        <f>VLOOKUP(C23,tech!$A$117:$B$131,2,0)*B24</f>
        <v>4</v>
      </c>
      <c r="F24" s="827"/>
      <c r="G24" s="827"/>
      <c r="H24" s="827"/>
      <c r="I24" s="827"/>
      <c r="J24" s="827"/>
      <c r="K24" s="827"/>
      <c r="L24" s="827"/>
      <c r="M24" s="828"/>
      <c r="N24">
        <f>IF(SUM(B27:B32)=0,0,TRUNC(SUM(N27:N32)/SUM(E27:E32),0))</f>
        <v>2</v>
      </c>
    </row>
    <row r="25" spans="2:15" ht="15.75" thickBot="1" x14ac:dyDescent="0.3">
      <c r="C25" s="822"/>
      <c r="D25" s="823"/>
      <c r="E25" s="823"/>
      <c r="F25" s="823"/>
      <c r="G25" s="823"/>
      <c r="H25" s="823"/>
      <c r="I25" s="823"/>
      <c r="J25" s="823"/>
      <c r="K25" s="823"/>
      <c r="L25" s="823"/>
      <c r="M25" s="824"/>
    </row>
    <row r="26" spans="2:15" ht="15.75" thickBot="1" x14ac:dyDescent="0.3">
      <c r="C26" s="55" t="s">
        <v>10</v>
      </c>
      <c r="D26" s="56" t="s">
        <v>9</v>
      </c>
      <c r="E26" s="57" t="s">
        <v>1</v>
      </c>
      <c r="F26" s="58" t="s">
        <v>55</v>
      </c>
      <c r="G26" s="58" t="s">
        <v>7</v>
      </c>
      <c r="H26" s="59" t="s">
        <v>8</v>
      </c>
      <c r="I26" s="188" t="s">
        <v>141</v>
      </c>
      <c r="J26" s="785" t="s">
        <v>11</v>
      </c>
      <c r="K26" s="786" t="s">
        <v>11</v>
      </c>
      <c r="L26" s="786" t="s">
        <v>151</v>
      </c>
      <c r="M26" s="787" t="s">
        <v>151</v>
      </c>
    </row>
    <row r="27" spans="2:15" ht="195" customHeight="1" x14ac:dyDescent="0.25">
      <c r="B27">
        <f>IF(B$24=0,0,IF(F27=tech!$B$9,0,1))</f>
        <v>1</v>
      </c>
      <c r="C27" s="60" t="s">
        <v>56</v>
      </c>
      <c r="D27" s="63" t="str">
        <f>IFERROR(VLOOKUP(C27,source!$P$4:$R$13,3,0),"")</f>
        <v>The scope of policies is defined and documented</v>
      </c>
      <c r="E27" s="64">
        <f>IFERROR(VLOOKUP(C27,source!$P$4:$R$13,2,0),0)*B27</f>
        <v>2</v>
      </c>
      <c r="F27" s="11" t="str">
        <f>IF(Scoping!K16=tech!$A$5,tech!$B$9,"")</f>
        <v/>
      </c>
      <c r="G27" s="286" t="str" cm="1">
        <f t="array" ref="G27">_xlfn.TEXTJOIN(CHAR(10),0,_xlfn._xlws.FILTER(source!$S$15:$S$300,source!$R$15:$R$300=_xlfn.CONCAT($C27,LEFT(G$15,1),"Y"),""))</f>
        <v>Each PKI implementation and use case is different, therefore it requires different care. The scope of policies that are applicable for the implementation should be defined and documented. When the proper description of the policies scope is provided, it helps all parties involved to understand the purpose of the policies and their applicability.
The scope can include the following:
• Identification of the policies required for the implementation
• Reasoning why the policies are required or not required
• Structure of policies and documentation
• List of policies with references, versions, etc.
• any other relevant information</v>
      </c>
      <c r="H27" s="252" t="str" cm="1">
        <f t="array" ref="H27">_xlfn.TEXTJOIN(CHAR(10),0,_xlfn._xlws.FILTER(source!$S$15:$S$300,source!$R$15:$R$300=_xlfn.CONCAT($C27,LEFT(H$15,1),"Y"),""))</f>
        <v>• the scope of policies is defined and Documented
• the scope of policies is complete
• Interview with the management and PKI responsible personnel to confirm the scope</v>
      </c>
      <c r="I27" s="189" t="s">
        <v>48</v>
      </c>
      <c r="J27" s="781"/>
      <c r="K27" s="782"/>
      <c r="L27" s="782"/>
      <c r="M27" s="783"/>
      <c r="N27">
        <f>IF(I27="",0,VLOOKUP(I27,tech!$A$13:$B$17,2,0))*E27</f>
        <v>4</v>
      </c>
      <c r="O27" t="str">
        <f>IF(D27="","",IF(B27=0,tech!$B$9,IF(AND(B27=1,N27=0),tech!$B$21,I27)))</f>
        <v>Basic</v>
      </c>
    </row>
    <row r="28" spans="2:15" ht="409.5" x14ac:dyDescent="0.25">
      <c r="B28">
        <f>IF(B$24=0,0,IF(F28=tech!$B$9,0,1))</f>
        <v>1</v>
      </c>
      <c r="C28" s="61" t="s">
        <v>57</v>
      </c>
      <c r="D28" s="65" t="str">
        <f>IFERROR(VLOOKUP(C28,source!$P$4:$R$13,3,0),"")</f>
        <v>Certificate Policy is documented and published</v>
      </c>
      <c r="E28" s="66">
        <f>IFERROR(VLOOKUP(C28,source!$P$4:$R$13,2,0),0)*B28</f>
        <v>5</v>
      </c>
      <c r="F28" s="12" t="str">
        <f>IF(Scoping!K17=tech!$A$5,tech!$B$9,"")</f>
        <v/>
      </c>
      <c r="G28" s="287" t="str" cm="1">
        <f t="array" ref="G28">_xlfn.TEXTJOIN(CHAR(10),0,_xlfn._xlws.FILTER(source!$S$15:$S$300,source!$R$15:$R$300=_xlfn.CONCAT($C28,LEFT(G$15,1),"Y"),""))</f>
        <v>Certificate Policy (CP) is used to establish the controls of the issuing party and the roles and responsibilities of its entities for the specific PKI implementation and use case. It's used to provide assurance to partners and show the trustworthiness by the use of standards. It can be considered as a high level contract between the parties involved in the PKI and therefore should be published and available to all parties involved.
CPs are described in a document form where the content may differ. Multiple policies can be part of a single document for different use cases. A CP contains a set of rules that indicates the applicability of a certificate to a particular community and/or class of applications with common security requirements or level of security (for instance certificates for the purpose of: persons, domains, organizations, authenticity and confidentiality, services). To uniquely identify the purpose of the certificates the CP contains unique numbers (Object Identifier, OID) which needs to be registered.
In general a CP addresses the following items:
• types of certificates
• Document name and Identification
• PKI participants
• certificate usage
• policy administration
• Definitions
• Publication and repository responsibilities
• Identification and authentication
• certificate life-cycle operational requirements
• Facility management and operational controls
• technical Security controls
• Certificate, CRL, and OCSP profiles
• compliance audit and other assessments
• other business and legal matters</v>
      </c>
      <c r="H28" s="253" t="str" cm="1">
        <f t="array" ref="H28">_xlfn.TEXTJOIN(CHAR(10),0,_xlfn._xlws.FILTER(source!$S$15:$S$300,source!$R$15:$R$300=_xlfn.CONCAT($C28,LEFT(H$15,1),"Y"),""))</f>
        <v>• the CP is properly Documented in its full scope
• The CP clearly defines the scope of the policy, such as the purpose of the security and assurance levels, the type and use of its certificates and parties involved
• the legal rights and responsibilities of parties are described in the CP
• CP has listed correct object identifiers for the purpose it's used for
• Verify that the CP is published and available to all parties involved
• Interview with the management and PKI responsible personnel to confirm the CP is accurate and followed</v>
      </c>
      <c r="I28" s="190" t="s">
        <v>48</v>
      </c>
      <c r="J28" s="774"/>
      <c r="K28" s="594"/>
      <c r="L28" s="594"/>
      <c r="M28" s="595"/>
      <c r="N28">
        <f>IF(I28="",0,VLOOKUP(I28,tech!$A$13:$B$17,2,0))*E28</f>
        <v>10</v>
      </c>
      <c r="O28" t="str">
        <f>IF(D28="","",IF(B28=0,tech!$B$9,IF(AND(B28=1,N28=0),tech!$B$21,I28)))</f>
        <v>Basic</v>
      </c>
    </row>
    <row r="29" spans="2:15" ht="150" x14ac:dyDescent="0.25">
      <c r="B29">
        <f>IF(B$24=0,0,IF(F29=tech!$B$9,0,1))</f>
        <v>1</v>
      </c>
      <c r="C29" s="61" t="s">
        <v>58</v>
      </c>
      <c r="D29" s="65" t="str">
        <f>IFERROR(VLOOKUP(C29,source!$P$4:$R$13,3,0),"")</f>
        <v>Certification Practice Statement is documented and published</v>
      </c>
      <c r="E29" s="66">
        <f>IFERROR(VLOOKUP(C29,source!$P$4:$R$13,2,0),0)*B29</f>
        <v>5</v>
      </c>
      <c r="F29" s="12" t="str">
        <f>IF(Scoping!K18=tech!$A$5,tech!$B$9,"")</f>
        <v/>
      </c>
      <c r="G29" s="287" t="str" cm="1">
        <f t="array" ref="G29">_xlfn.TEXTJOIN(CHAR(10),0,_xlfn._xlws.FILTER(source!$S$15:$S$300,source!$R$15:$R$300=_xlfn.CONCAT($C29,LEFT(G$15,1),"Y"),""))</f>
        <v>In addition to a CP, there is typically a Certification Practice Statement (CPS). While a CP is more at a strategic level, detailed information about how things should be carried out is part of a CPS (tactical level). The CP and CPS can be combined into a single managed document, however they are typically split for most of the PKI implementations for better orientation.
The CPS covers the same items as the CP, but includes technical detail of how the CP is implemented. All parties involved in the PKI should be aware of the CPS and follow it. The CPS is a living document that is continuously updated and changed as technologies, security, and compliance requirements change.</v>
      </c>
      <c r="H29" s="253" t="str" cm="1">
        <f t="array" ref="H29">_xlfn.TEXTJOIN(CHAR(10),0,_xlfn._xlws.FILTER(source!$S$15:$S$300,source!$R$15:$R$300=_xlfn.CONCAT($C29,LEFT(H$15,1),"Y"),""))</f>
        <v>• the CPS is properly Documented in its full scope
• CPS is published and available to all parties involved
• Interview with the management and PKI responsible personnel to confirm the CPS is accurate and followed
• confirm that the information in the CPS is Consistent with the information in the CP</v>
      </c>
      <c r="I29" s="190" t="s">
        <v>48</v>
      </c>
      <c r="J29" s="774"/>
      <c r="K29" s="594"/>
      <c r="L29" s="594"/>
      <c r="M29" s="595"/>
      <c r="N29">
        <f>IF(I29="",0,VLOOKUP(I29,tech!$A$13:$B$17,2,0))*E29</f>
        <v>10</v>
      </c>
      <c r="O29" t="str">
        <f>IF(D29="","",IF(B29=0,tech!$B$9,IF(AND(B29=1,N29=0),tech!$B$21,I29)))</f>
        <v>Basic</v>
      </c>
    </row>
    <row r="30" spans="2:15" ht="270" customHeight="1" x14ac:dyDescent="0.25">
      <c r="B30">
        <f>IF(B$24=0,0,IF(F30=tech!$B$9,0,1))</f>
        <v>1</v>
      </c>
      <c r="C30" s="61" t="s">
        <v>59</v>
      </c>
      <c r="D30" s="65" t="str">
        <f>IFERROR(VLOOKUP(C30,source!$P$4:$R$13,3,0),"")</f>
        <v>Disclosure statement is documented and published</v>
      </c>
      <c r="E30" s="66">
        <f>IFERROR(VLOOKUP(C30,source!$P$4:$R$13,2,0),0)*B30</f>
        <v>4</v>
      </c>
      <c r="F30" s="12" t="str">
        <f>IF(Scoping!K19=tech!$A$5,tech!$B$9,"")</f>
        <v/>
      </c>
      <c r="G30" s="287" t="str" cm="1">
        <f t="array" ref="G30">_xlfn.TEXTJOIN(CHAR(10),0,_xlfn._xlws.FILTER(source!$S$15:$S$300,source!$R$15:$R$300=_xlfn.CONCAT($C30,LEFT(G$15,1),"Y"),""))</f>
        <v>The disclosure statement (DS) is a document that describes the PKI and its services. It refers to a document that discloses the relevant information about the CA and its services to the relying parties.
It typically includes information like:
• CA's identity, legal status, and contact information
• Certificate types, verification procedures and compliance with standards
• Reliance limits
• Obligations of the CA and the relying parties
• Warranty and liability limitations
• Agreement, CP and CPS
• Privacy policy
• Refund policy and claims
• information on audit and compliance
The purpose of a DS is to provide transparency to relying parties, allowing them to assess the trustworthiness and reliability of the CA before relying on its certificates.</v>
      </c>
      <c r="H30" s="253" t="str" cm="1">
        <f t="array" ref="H30">_xlfn.TEXTJOIN(CHAR(10),0,_xlfn._xlws.FILTER(source!$S$15:$S$300,source!$R$15:$R$300=_xlfn.CONCAT($C30,LEFT(H$15,1),"Y"),""))</f>
        <v>• the DS is properly Documented in its full scope
• DS is published and available to all parties involved
• Interview with the management and PKI responsible personnel to confirm the DS is accurate
• confirm that the information in the DS is Consistent with the information in the CP and CPS</v>
      </c>
      <c r="I30" s="190" t="s">
        <v>48</v>
      </c>
      <c r="J30" s="774"/>
      <c r="K30" s="594"/>
      <c r="L30" s="594"/>
      <c r="M30" s="595"/>
      <c r="N30">
        <f>IF(I30="",0,VLOOKUP(I30,tech!$A$13:$B$17,2,0))*E30</f>
        <v>8</v>
      </c>
      <c r="O30" t="str">
        <f>IF(D30="","",IF(B30=0,tech!$B$9,IF(AND(B30=1,N30=0),tech!$B$21,I30)))</f>
        <v>Basic</v>
      </c>
    </row>
    <row r="31" spans="2:15" ht="90.75" thickBot="1" x14ac:dyDescent="0.3">
      <c r="B31">
        <f>IF(B$24=0,0,IF(F31=tech!$B$9,0,1))</f>
        <v>1</v>
      </c>
      <c r="C31" s="62" t="s">
        <v>60</v>
      </c>
      <c r="D31" s="67" t="str">
        <f>IFERROR(VLOOKUP(C31,source!$P$4:$R$13,3,0),"")</f>
        <v>Policies are periodically reviewed and updated</v>
      </c>
      <c r="E31" s="68">
        <f>IFERROR(VLOOKUP(C31,source!$P$4:$R$13,2,0),0)*B31</f>
        <v>3</v>
      </c>
      <c r="F31" s="13" t="str">
        <f>IF(Scoping!K20=tech!$A$5,tech!$B$9,"")</f>
        <v/>
      </c>
      <c r="G31" s="288" t="str" cm="1">
        <f t="array" ref="G31">_xlfn.TEXTJOIN(CHAR(10),0,_xlfn._xlws.FILTER(source!$S$15:$S$300,source!$R$15:$R$300=_xlfn.CONCAT($C31,LEFT(G$15,1),"Y"),""))</f>
        <v>Policies are living documents that are continuously updated and changed as technologies, security, and compliance requirements change. The policies should be reviewed and updated periodically. The frequency of review should be determined by the organization. Good practice is to review policies at least annually or when there are significant changes in the PKI or its environment.</v>
      </c>
      <c r="H31" s="251" t="str" cm="1">
        <f t="array" ref="H31">_xlfn.TEXTJOIN(CHAR(10),0,_xlfn._xlws.FILTER(source!$S$15:$S$300,source!$R$15:$R$300=_xlfn.CONCAT($C31,LEFT(H$15,1),"Y"),""))</f>
        <v>• the policies are reviewed and updated periodically
• Check the last review date of the policies
• implementation of review process
• Validation of documentation and reviews
• Interview with the management and PKI responsible personnel to confirm the policies are reviewed and updated periodically</v>
      </c>
      <c r="I31" s="191" t="s">
        <v>48</v>
      </c>
      <c r="J31" s="775"/>
      <c r="K31" s="776"/>
      <c r="L31" s="776"/>
      <c r="M31" s="777"/>
      <c r="N31">
        <f>IF(I31="",0,VLOOKUP(I31,tech!$A$13:$B$17,2,0))*E31</f>
        <v>6</v>
      </c>
      <c r="O31" t="str">
        <f>IF(D31="","",IF(B31=0,tech!$B$9,IF(AND(B31=1,N31=0),tech!$B$21,I31)))</f>
        <v>Basic</v>
      </c>
    </row>
    <row r="32" spans="2:15" ht="19.5" hidden="1" thickBot="1" x14ac:dyDescent="0.3">
      <c r="B32">
        <f>IF(B$24=0,0,IF(F32=tech!$B$9,0,1))</f>
        <v>1</v>
      </c>
      <c r="C32" s="214" t="s">
        <v>61</v>
      </c>
      <c r="D32" s="215" t="str">
        <f>IFERROR(VLOOKUP(C32,source!$P$4:$R$13,3,0),"")</f>
        <v/>
      </c>
      <c r="E32" s="216">
        <f>IFERROR(VLOOKUP(C32,source!$P$4:$R$13,2,0),0)*B32</f>
        <v>0</v>
      </c>
      <c r="F32" s="211" t="str">
        <f>IF(Scoping!K21=tech!$A$5,tech!$B$9,"")</f>
        <v/>
      </c>
      <c r="G32" s="211" t="str" cm="1">
        <f t="array" ref="G32">_xlfn.TEXTJOIN(CHAR(10),0,_xlfn._xlws.FILTER(source!$S$15:$S$300,source!$R$15:$R$300=_xlfn.CONCAT($C32,LEFT(G$15,1),"Y"),""))</f>
        <v/>
      </c>
      <c r="H32" s="212" t="str" cm="1">
        <f t="array" ref="H32">_xlfn.TEXTJOIN(CHAR(10),0,_xlfn._xlws.FILTER(source!$S$15:$S$300,source!$R$15:$R$300=_xlfn.CONCAT($C32,LEFT(H$15,1),"Y"),""))</f>
        <v/>
      </c>
      <c r="I32" s="217" t="s">
        <v>48</v>
      </c>
      <c r="J32" s="778"/>
      <c r="K32" s="779"/>
      <c r="L32" s="779"/>
      <c r="M32" s="780"/>
      <c r="N32">
        <f>IF(I32="",0,VLOOKUP(I32,tech!$A$13:$B$17,2,0))*E32</f>
        <v>0</v>
      </c>
      <c r="O32" t="str">
        <f>IF(D32="","",IF(B32=0,tech!$B$9,IF(AND(B32=1,N32=0),tech!$B$21,I32)))</f>
        <v/>
      </c>
    </row>
    <row r="33" spans="2:15" ht="15.75" thickBot="1" x14ac:dyDescent="0.3"/>
    <row r="34" spans="2:15" ht="15" customHeight="1" x14ac:dyDescent="0.25">
      <c r="C34" s="812" t="str">
        <f>tech!A119</f>
        <v>1.3. Compliance</v>
      </c>
      <c r="D34" s="813"/>
      <c r="E34" s="184" t="s">
        <v>1</v>
      </c>
      <c r="F34" s="825" t="str">
        <f>IF(B35=0,tech!$A$9,"")</f>
        <v/>
      </c>
      <c r="G34" s="825"/>
      <c r="H34" s="825"/>
      <c r="I34" s="825"/>
      <c r="J34" s="825"/>
      <c r="K34" s="825"/>
      <c r="L34" s="825"/>
      <c r="M34" s="826"/>
    </row>
    <row r="35" spans="2:15" ht="15" customHeight="1" x14ac:dyDescent="0.25">
      <c r="B35">
        <f>IF(Scoping!F22=tech!$A$5,0,1)</f>
        <v>1</v>
      </c>
      <c r="C35" s="814"/>
      <c r="D35" s="815"/>
      <c r="E35" s="136">
        <f>VLOOKUP(C34,tech!$A$117:$B$131,2,0)*B35</f>
        <v>2</v>
      </c>
      <c r="F35" s="827"/>
      <c r="G35" s="827"/>
      <c r="H35" s="827"/>
      <c r="I35" s="827"/>
      <c r="J35" s="827"/>
      <c r="K35" s="827"/>
      <c r="L35" s="827"/>
      <c r="M35" s="828"/>
      <c r="N35">
        <f>IF(SUM(B38:B43)=0,0,TRUNC(SUM(N38:N43)/SUM(E38:E43),0))</f>
        <v>2</v>
      </c>
    </row>
    <row r="36" spans="2:15" ht="15.75" thickBot="1" x14ac:dyDescent="0.3">
      <c r="C36" s="822"/>
      <c r="D36" s="823"/>
      <c r="E36" s="823"/>
      <c r="F36" s="823"/>
      <c r="G36" s="823"/>
      <c r="H36" s="823"/>
      <c r="I36" s="823"/>
      <c r="J36" s="823"/>
      <c r="K36" s="823"/>
      <c r="L36" s="823"/>
      <c r="M36" s="824"/>
    </row>
    <row r="37" spans="2:15" ht="15.75" thickBot="1" x14ac:dyDescent="0.3">
      <c r="C37" s="55" t="s">
        <v>10</v>
      </c>
      <c r="D37" s="56" t="s">
        <v>9</v>
      </c>
      <c r="E37" s="57" t="s">
        <v>1</v>
      </c>
      <c r="F37" s="58" t="s">
        <v>55</v>
      </c>
      <c r="G37" s="58" t="s">
        <v>7</v>
      </c>
      <c r="H37" s="59" t="s">
        <v>8</v>
      </c>
      <c r="I37" s="188" t="s">
        <v>141</v>
      </c>
      <c r="J37" s="785" t="s">
        <v>11</v>
      </c>
      <c r="K37" s="786" t="s">
        <v>11</v>
      </c>
      <c r="L37" s="786" t="s">
        <v>151</v>
      </c>
      <c r="M37" s="787" t="s">
        <v>151</v>
      </c>
    </row>
    <row r="38" spans="2:15" ht="360" customHeight="1" x14ac:dyDescent="0.25">
      <c r="B38">
        <f>IF(B$35=0,0,IF(F38=tech!$B$9,0,1))</f>
        <v>1</v>
      </c>
      <c r="C38" s="60" t="s">
        <v>62</v>
      </c>
      <c r="D38" s="63" t="str">
        <f>IFERROR(VLOOKUP(C38,source!$V$4:$X$13,3,0),"")</f>
        <v>Compliance policies are defined, implemented, and communicated</v>
      </c>
      <c r="E38" s="64">
        <f>IFERROR(VLOOKUP(C38,source!$V$4:$X$13,2,0),0)*B38</f>
        <v>3</v>
      </c>
      <c r="F38" s="11" t="str">
        <f>IF(Scoping!K22=tech!$A$5,tech!$B$9,"")</f>
        <v/>
      </c>
      <c r="G38" s="286" t="str" cm="1">
        <f t="array" ref="G38">_xlfn.TEXTJOIN(CHAR(10),0,_xlfn._xlws.FILTER(source!$Y$15:$Y$300,source!$X$15:$X$300=_xlfn.CONCAT($C38,LEFT(G$15,1),"Y"),""))</f>
        <v>Compliance policies are a critical component of an organization’s risk management strategy to help ensure that the PKI system is secure, reliable, trustworthy, and meets any applicable regulatory requirements.
By defining appropriate policies and related procedures and communicating these to all stakeholders who rely on the PKI, the organization can ensure that administrators, operators, and users are properly authenticated and authorized to access the system and that appropriate controls are in place to prevent unauthorized access or misuse of the PKI.
Having a sound set of compliance policies defined, implemented, and communicated can help to demonstrate that the organization took reasonable steps to protect the PKI and may result in reduced legal liability in the event of a breach due to improper or malicious use of the PKI.
The compliance policies typically include:
• Laws, industry regulations and government legislation that apply to the organization business and PKI
• Roles and responsibilities
• Compliance program management requirements
• Reporting and auditing requirements
• References to relevant documents (anti-trust, anti-fraud, anti-bribery, anti-money laundering, due diligence, etc.)
• Any other relevant information that rule Compliance</v>
      </c>
      <c r="H38" s="252" t="str" cm="1">
        <f t="array" ref="H38">_xlfn.TEXTJOIN(CHAR(10),0,_xlfn._xlws.FILTER(source!$Y$15:$Y$300,source!$X$15:$X$300=_xlfn.CONCAT($C38,LEFT(H$15,1),"Y"),""))</f>
        <v>• Documented audit and accountability policies
• Documented communication plan for informing stakeholders of the policies
• Formalized process for stakeholder acknowledgement upon receipt of the policies</v>
      </c>
      <c r="I38" s="189" t="s">
        <v>48</v>
      </c>
      <c r="J38" s="781"/>
      <c r="K38" s="782"/>
      <c r="L38" s="782"/>
      <c r="M38" s="783"/>
      <c r="N38">
        <f>IF(I38="",0,VLOOKUP(I38,tech!$A$13:$B$17,2,0))*E38</f>
        <v>6</v>
      </c>
      <c r="O38" t="str">
        <f>IF(D38="","",IF(B38=0,tech!$B$9,IF(AND(B38=1,N38=0),tech!$B$21,I38)))</f>
        <v>Basic</v>
      </c>
    </row>
    <row r="39" spans="2:15" ht="195" customHeight="1" x14ac:dyDescent="0.25">
      <c r="B39">
        <f>IF(B$35=0,0,IF(F39=tech!$B$9,0,1))</f>
        <v>1</v>
      </c>
      <c r="C39" s="61" t="s">
        <v>63</v>
      </c>
      <c r="D39" s="65" t="str">
        <f>IFERROR(VLOOKUP(C39,source!$V$4:$X$13,3,0),"")</f>
        <v>A program to monitor compliance with the policies is established</v>
      </c>
      <c r="E39" s="66">
        <f>IFERROR(VLOOKUP(C39,source!$V$4:$X$13,2,0),0)*B39</f>
        <v>4</v>
      </c>
      <c r="F39" s="12" t="str">
        <f>IF(Scoping!K23=tech!$A$5,tech!$B$9,"")</f>
        <v/>
      </c>
      <c r="G39" s="287" t="str" cm="1">
        <f t="array" ref="G39">_xlfn.TEXTJOIN(CHAR(10),0,_xlfn._xlws.FILTER(source!$Y$15:$Y$300,source!$X$15:$X$300=_xlfn.CONCAT($C39,LEFT(G$15,1),"Y"),""))</f>
        <v>A PKI compliance monitoring program typically involves ongoing monitoring and testing of the controls and procedures to detect potential compliance violations associated with rules and regulations that govern the issuance, update, or revocation of certificates.
These programs often include a risk assessment to identify and assess potential risks that could lead to non-compliance, including regulatory changes, operational changes, or employee turnover.
The monitoring process may include reviewing documentation, conducting interviews with key stakeholders, and reporting any issues or compliance violations.  Reporting from compliance monitoring should be communicated to those stakeholders who committed the violation(s) and those stakeholders who are empowered to take corrective action to address the violations observed.</v>
      </c>
      <c r="H39" s="253" t="str" cm="1">
        <f t="array" ref="H39">_xlfn.TEXTJOIN(CHAR(10),0,_xlfn._xlws.FILTER(source!$Y$15:$Y$300,source!$X$15:$X$300=_xlfn.CONCAT($C39,LEFT(H$15,1),"Y"),""))</f>
        <v>• Documented practices regarding periodic and aperiodic compliance assessments
• Documented practices for regularly review and reporting of security issues
• Documented and implemented processes for investigation and response to suspicious activities</v>
      </c>
      <c r="I39" s="190" t="s">
        <v>48</v>
      </c>
      <c r="J39" s="774"/>
      <c r="K39" s="594"/>
      <c r="L39" s="594"/>
      <c r="M39" s="595"/>
      <c r="N39">
        <f>IF(I39="",0,VLOOKUP(I39,tech!$A$13:$B$17,2,0))*E39</f>
        <v>8</v>
      </c>
      <c r="O39" t="str">
        <f>IF(D39="","",IF(B39=0,tech!$B$9,IF(AND(B39=1,N39=0),tech!$B$21,I39)))</f>
        <v>Basic</v>
      </c>
    </row>
    <row r="40" spans="2:15" ht="135" x14ac:dyDescent="0.25">
      <c r="B40">
        <f>IF(B$35=0,0,IF(F40=tech!$B$9,0,1))</f>
        <v>1</v>
      </c>
      <c r="C40" s="61" t="s">
        <v>64</v>
      </c>
      <c r="D40" s="65" t="str">
        <f>IFERROR(VLOOKUP(C40,source!$V$4:$X$13,3,0),"")</f>
        <v>Responsibilities for the compliance are formally defined and assigned</v>
      </c>
      <c r="E40" s="66">
        <f>IFERROR(VLOOKUP(C40,source!$V$4:$X$13,2,0),0)*B40</f>
        <v>3</v>
      </c>
      <c r="F40" s="12" t="str">
        <f>IF(Scoping!K24=tech!$A$5,tech!$B$9,"")</f>
        <v/>
      </c>
      <c r="G40" s="287" t="str" cm="1">
        <f t="array" ref="G40">_xlfn.TEXTJOIN(CHAR(10),0,_xlfn._xlws.FILTER(source!$Y$15:$Y$300,source!$X$15:$X$300=_xlfn.CONCAT($C40,LEFT(G$15,1),"Y"),""))</f>
        <v>Within the organization, there should exist clear and well documented guidelines outlining which individual, group or team is responsible for ensuring that PKI policies are being followed. This applies to governance and oversight in addition to operational policies and procedures.
Documenting specifically "who" shall be responsible for ensuring PKI policies are being enforced enhances accountability and trustworthiness of the PKI by enforcing the mentality that "someone is watching".  This will help to mitigate risks associated with improper or malicious acts.</v>
      </c>
      <c r="H40" s="253" t="str" cm="1">
        <f t="array" ref="H40">_xlfn.TEXTJOIN(CHAR(10),0,_xlfn._xlws.FILTER(source!$Y$15:$Y$300,source!$X$15:$X$300=_xlfn.CONCAT($C40,LEFT(H$15,1),"Y"),""))</f>
        <v>• For each defined procedure, a specific individual or team is identified and assigned to perform the tasks associated with the procedure
• Interview with the personnel to confirm understanding of the role and responsibilities</v>
      </c>
      <c r="I40" s="190" t="s">
        <v>48</v>
      </c>
      <c r="J40" s="774"/>
      <c r="K40" s="594"/>
      <c r="L40" s="594"/>
      <c r="M40" s="595"/>
      <c r="N40">
        <f>IF(I40="",0,VLOOKUP(I40,tech!$A$13:$B$17,2,0))*E40</f>
        <v>6</v>
      </c>
      <c r="O40" t="str">
        <f>IF(D40="","",IF(B40=0,tech!$B$9,IF(AND(B40=1,N40=0),tech!$B$21,I40)))</f>
        <v>Basic</v>
      </c>
    </row>
    <row r="41" spans="2:15" ht="105" customHeight="1" thickBot="1" x14ac:dyDescent="0.3">
      <c r="B41">
        <f>IF(B$35=0,0,IF(F41=tech!$B$9,0,1))</f>
        <v>1</v>
      </c>
      <c r="C41" s="62" t="s">
        <v>65</v>
      </c>
      <c r="D41" s="67" t="str">
        <f>IFERROR(VLOOKUP(C41,source!$V$4:$X$13,3,0),"")</f>
        <v>List of relevant laws, regulations, and standards, exist and is maintained</v>
      </c>
      <c r="E41" s="68">
        <f>IFERROR(VLOOKUP(C41,source!$V$4:$X$13,2,0),0)*B41</f>
        <v>5</v>
      </c>
      <c r="F41" s="13" t="str">
        <f>IF(Scoping!K25=tech!$A$5,tech!$B$9,"")</f>
        <v/>
      </c>
      <c r="G41" s="288" t="str" cm="1">
        <f t="array" ref="G41">_xlfn.TEXTJOIN(CHAR(10),0,_xlfn._xlws.FILTER(source!$Y$15:$Y$300,source!$X$15:$X$300=_xlfn.CONCAT($C41,LEFT(G$15,1),"Y"),""))</f>
        <v>To better understand the relevance to PKI, one should understand the differences between laws, regulations, and standards.
Laws are legal rules that are enacted by a governing body, such as a federal, state or local government.  They are binding and enforceable by the legal system within the jurisdiction of the governing body that enacted them.  Violating law can lead to legal consequences, such as fines or imprisonment.
Regulations are derived from laws and are often meant to supplement and clarify the broader provisions outlined in the laws.  Compliance with regulations is mandatory and non-compliance can result in penalties or other legal consequences.
Standards are voluntary guidelines or specifications typically established by a particular industry group or standards organization.  Standards usually define best practices, technical specifications, quality benchmarks, and other criteria and are meant as a means of ensuring consistency, interoperability, and quality.  Typically, compliance with standards is not legally required, however, lack of conformance to standards can lead to diminished interoperability and reduced trust.
With respect to PKI, it is very important to understand what laws, regulations and standards are relevant to the PKI and its ancillary systems.  For example, given that PKI involves cryptography, one must be certain to adhere to government laws regarding use and deployment of cryptographic products and solutions.
And, many times, a PKI will make use of hardware cryptographic modules for key generation and storage.  Therefore, it’s critical to ensure that the hardware cryptographic modules comply with the relevant standards. There are many laws, regulations and standards that apply to PKI.  As such, it is necessary to maintain a list of the ones that are relevant to your organization to help ensure that none are being overlooked.</v>
      </c>
      <c r="H41" s="251" t="str" cm="1">
        <f t="array" ref="H41">_xlfn.TEXTJOIN(CHAR(10),0,_xlfn._xlws.FILTER(source!$Y$15:$Y$300,source!$X$15:$X$300=_xlfn.CONCAT($C41,LEFT(H$15,1),"Y"),""))</f>
        <v>• Documented list of applicable laws, regulations and standards is maintained
• Procedures established for periodic review of the laws, regulations and standards
• Procedures established to remediate Any deficiencies or non-Compliance issues identified
• Procedures established to communicate results of the periodic reviews</v>
      </c>
      <c r="I41" s="191" t="s">
        <v>48</v>
      </c>
      <c r="J41" s="775"/>
      <c r="K41" s="776"/>
      <c r="L41" s="776"/>
      <c r="M41" s="777"/>
      <c r="N41">
        <f>IF(I41="",0,VLOOKUP(I41,tech!$A$13:$B$17,2,0))*E41</f>
        <v>10</v>
      </c>
      <c r="O41" t="str">
        <f>IF(D41="","",IF(B41=0,tech!$B$9,IF(AND(B41=1,N41=0),tech!$B$21,I41)))</f>
        <v>Basic</v>
      </c>
    </row>
    <row r="42" spans="2:15" ht="12" hidden="1" customHeight="1" x14ac:dyDescent="0.25">
      <c r="B42">
        <f>IF(B$35=0,0,IF(F42=tech!$B$9,0,1))</f>
        <v>1</v>
      </c>
      <c r="C42" s="60" t="s">
        <v>66</v>
      </c>
      <c r="D42" s="63" t="str">
        <f>IFERROR(VLOOKUP(C42,source!$V$4:$X$13,3,0),"")</f>
        <v/>
      </c>
      <c r="E42" s="64">
        <f>IFERROR(VLOOKUP(C42,source!$V$4:$X$13,2,0),0)*B42</f>
        <v>0</v>
      </c>
      <c r="F42" s="22" t="str">
        <f>IF(Scoping!K26=tech!$A$5,tech!$B$9,"")</f>
        <v/>
      </c>
      <c r="G42" s="22" t="str" cm="1">
        <f t="array" ref="G42">_xlfn.TEXTJOIN(CHAR(10),0,_xlfn._xlws.FILTER(source!$Y$15:$Y$300,source!$X$15:$X$300=_xlfn.CONCAT($C42,LEFT(G$15,1),"Y"),""))</f>
        <v/>
      </c>
      <c r="H42" s="34" t="str" cm="1">
        <f t="array" ref="H42">_xlfn.TEXTJOIN(CHAR(10),0,_xlfn._xlws.FILTER(source!$Y$15:$Y$300,source!$X$15:$X$300=_xlfn.CONCAT($C42,LEFT(H$15,1),"Y"),""))</f>
        <v/>
      </c>
      <c r="I42" s="189" t="s">
        <v>48</v>
      </c>
      <c r="J42" s="784"/>
      <c r="K42" s="592"/>
      <c r="L42" s="592"/>
      <c r="M42" s="593"/>
      <c r="N42">
        <f>IF(I42="",0,VLOOKUP(I42,tech!$A$13:$B$17,2,0))*E42</f>
        <v>0</v>
      </c>
      <c r="O42" t="str">
        <f>IF(D42="","",IF(B42=0,tech!$B$9,IF(AND(B42=1,N42=0),tech!$B$21,I42)))</f>
        <v/>
      </c>
    </row>
    <row r="43" spans="2:15" ht="17.25" hidden="1" customHeight="1" thickBot="1" x14ac:dyDescent="0.3">
      <c r="B43">
        <f>IF(B$35=0,0,IF(F43=tech!$B$9,0,1))</f>
        <v>1</v>
      </c>
      <c r="C43" s="62" t="s">
        <v>67</v>
      </c>
      <c r="D43" s="67" t="str">
        <f>IFERROR(VLOOKUP(C43,source!$V$4:$X$13,3,0),"")</f>
        <v/>
      </c>
      <c r="E43" s="68">
        <f>IFERROR(VLOOKUP(C43,source!$V$4:$X$13,2,0),0)*B43</f>
        <v>0</v>
      </c>
      <c r="F43" s="13" t="str">
        <f>IF(Scoping!K27=tech!$A$5,tech!$B$9,"")</f>
        <v/>
      </c>
      <c r="G43" s="13" t="str" cm="1">
        <f t="array" ref="G43">_xlfn.TEXTJOIN(CHAR(10),0,_xlfn._xlws.FILTER(source!$Y$15:$Y$300,source!$X$15:$X$300=_xlfn.CONCAT($C43,LEFT(G$15,1),"Y"),""))</f>
        <v/>
      </c>
      <c r="H43" s="36" t="str" cm="1">
        <f t="array" ref="H43">_xlfn.TEXTJOIN(CHAR(10),0,_xlfn._xlws.FILTER(source!$Y$15:$Y$300,source!$X$15:$X$300=_xlfn.CONCAT($C43,LEFT(H$15,1),"Y"),""))</f>
        <v/>
      </c>
      <c r="I43" s="191" t="s">
        <v>48</v>
      </c>
      <c r="J43" s="775"/>
      <c r="K43" s="776"/>
      <c r="L43" s="776"/>
      <c r="M43" s="777"/>
      <c r="N43">
        <f>IF(I43="",0,VLOOKUP(I43,tech!$A$13:$B$17,2,0))*E43</f>
        <v>0</v>
      </c>
      <c r="O43" t="str">
        <f>IF(D43="","",IF(B43=0,tech!$B$9,IF(AND(B43=1,N43=0),tech!$B$21,I43)))</f>
        <v/>
      </c>
    </row>
    <row r="44" spans="2:15" ht="15.75" thickBot="1" x14ac:dyDescent="0.3"/>
    <row r="45" spans="2:15" ht="15" customHeight="1" x14ac:dyDescent="0.25">
      <c r="C45" s="812" t="str">
        <f>tech!A120</f>
        <v>1.4. Processes and procedures</v>
      </c>
      <c r="D45" s="813"/>
      <c r="E45" s="184" t="s">
        <v>1</v>
      </c>
      <c r="F45" s="825" t="str">
        <f>IF(B46=0,tech!$A$9,"")</f>
        <v/>
      </c>
      <c r="G45" s="825"/>
      <c r="H45" s="825"/>
      <c r="I45" s="825"/>
      <c r="J45" s="825"/>
      <c r="K45" s="825"/>
      <c r="L45" s="825"/>
      <c r="M45" s="826"/>
    </row>
    <row r="46" spans="2:15" ht="15" customHeight="1" x14ac:dyDescent="0.25">
      <c r="B46">
        <f>IF(Scoping!F28=tech!$A$5,0,1)</f>
        <v>1</v>
      </c>
      <c r="C46" s="814"/>
      <c r="D46" s="815"/>
      <c r="E46" s="136">
        <f>VLOOKUP(C45,tech!$A$117:$B$131,2,0)*B46</f>
        <v>3</v>
      </c>
      <c r="F46" s="827"/>
      <c r="G46" s="827"/>
      <c r="H46" s="827"/>
      <c r="I46" s="827"/>
      <c r="J46" s="827"/>
      <c r="K46" s="827"/>
      <c r="L46" s="827"/>
      <c r="M46" s="828"/>
      <c r="N46">
        <f>IF(SUM(B49:B54)=0,0,TRUNC(SUM(N49:N54)/SUM(E49:E54),0))</f>
        <v>3</v>
      </c>
    </row>
    <row r="47" spans="2:15" ht="15.75" thickBot="1" x14ac:dyDescent="0.3">
      <c r="C47" s="822"/>
      <c r="D47" s="823"/>
      <c r="E47" s="823"/>
      <c r="F47" s="823"/>
      <c r="G47" s="823"/>
      <c r="H47" s="823"/>
      <c r="I47" s="823"/>
      <c r="J47" s="823"/>
      <c r="K47" s="823"/>
      <c r="L47" s="823"/>
      <c r="M47" s="824"/>
    </row>
    <row r="48" spans="2:15" ht="15.75" thickBot="1" x14ac:dyDescent="0.3">
      <c r="C48" s="55" t="s">
        <v>10</v>
      </c>
      <c r="D48" s="56" t="s">
        <v>9</v>
      </c>
      <c r="E48" s="57" t="s">
        <v>1</v>
      </c>
      <c r="F48" s="58" t="s">
        <v>55</v>
      </c>
      <c r="G48" s="58" t="s">
        <v>7</v>
      </c>
      <c r="H48" s="59" t="s">
        <v>8</v>
      </c>
      <c r="I48" s="188" t="s">
        <v>141</v>
      </c>
      <c r="J48" s="785" t="s">
        <v>11</v>
      </c>
      <c r="K48" s="786" t="s">
        <v>11</v>
      </c>
      <c r="L48" s="786" t="s">
        <v>151</v>
      </c>
      <c r="M48" s="787" t="s">
        <v>151</v>
      </c>
    </row>
    <row r="49" spans="2:15" ht="180" customHeight="1" x14ac:dyDescent="0.25">
      <c r="B49">
        <f>IF(B$46=0,0,IF(F49=tech!$B$9,0,1))</f>
        <v>1</v>
      </c>
      <c r="C49" s="60" t="s">
        <v>68</v>
      </c>
      <c r="D49" s="63" t="str">
        <f>IFERROR(VLOOKUP(C49,source!$AB$4:$AD$13,3,0),"")</f>
        <v>Scope of processes and procedure is aligned with policies</v>
      </c>
      <c r="E49" s="64">
        <f>IFERROR(VLOOKUP(C49,source!$AB$4:$AD$13,2,0),0)*B49</f>
        <v>4</v>
      </c>
      <c r="F49" s="11" t="str">
        <f>IF(Scoping!K28=tech!$A$5,tech!$B$9,"")</f>
        <v/>
      </c>
      <c r="G49" s="22" t="str" cm="1">
        <f t="array" ref="G49">_xlfn.TEXTJOIN(CHAR(10),0,_xlfn._xlws.FILTER(source!$AE$15:$AE$300,source!$AD$15:$AD$300=_xlfn.CONCAT($C49,LEFT(G$15,1),"Y"),""))</f>
        <v>The scope of the processes and procedures should be aligned with the policies and statements. Each implementation and use case can have different scope, but the scope should be defined and documented, with all applicable processes, procedures, and eventually instructions.
The alignment with the policies helps to ensure that the processes and procedures are aligned with the PKI implementation goals and needs, and can be effectively trusted over the time. A simple matrix can be used to ensure that all applicable policies and statements are covered by the processes and procedures.
The completeness of the processes and procedures can be evaluated by the risk assessment, audit, or by the feedback from the users.</v>
      </c>
      <c r="H49" s="22" t="str" cm="1">
        <f t="array" ref="H49">_xlfn.TEXTJOIN(CHAR(10),0,_xlfn._xlws.FILTER(source!$AE$15:$AE$300,source!$AD$15:$AD$300=_xlfn.CONCAT($C49,LEFT(H$15,1),"Y"),""))</f>
        <v>The following is a sample evidence and information that can be collected during the assessment:
• Documented scope of the processes and procedures
• alignment with the PKI policies and statements
• Interview with the PKI management</v>
      </c>
      <c r="I49" s="189" t="s">
        <v>49</v>
      </c>
      <c r="J49" s="781"/>
      <c r="K49" s="782"/>
      <c r="L49" s="782"/>
      <c r="M49" s="783"/>
      <c r="N49">
        <f>IF(I49="",0,VLOOKUP(I49,tech!$A$13:$B$17,2,0))*E49</f>
        <v>12</v>
      </c>
      <c r="O49" t="str">
        <f>IF(D49="","",IF(B49=0,tech!$B$9,IF(AND(B49=1,N49=0),tech!$B$21,I49)))</f>
        <v>Advanced</v>
      </c>
    </row>
    <row r="50" spans="2:15" ht="135" x14ac:dyDescent="0.25">
      <c r="B50">
        <f>IF(B$46=0,0,IF(F50=tech!$B$9,0,1))</f>
        <v>1</v>
      </c>
      <c r="C50" s="61" t="s">
        <v>69</v>
      </c>
      <c r="D50" s="65" t="str">
        <f>IFERROR(VLOOKUP(C50,source!$AB$4:$AD$13,3,0),"")</f>
        <v>Processes and procedures are formally documented and followed</v>
      </c>
      <c r="E50" s="66">
        <f>IFERROR(VLOOKUP(C50,source!$AB$4:$AD$13,2,0),0)*B50</f>
        <v>3</v>
      </c>
      <c r="F50" s="12" t="str">
        <f>IF(Scoping!K29=tech!$A$5,tech!$B$9,"")</f>
        <v/>
      </c>
      <c r="G50" s="12" t="str" cm="1">
        <f t="array" ref="G50">_xlfn.TEXTJOIN(CHAR(10),0,_xlfn._xlws.FILTER(source!$AE$15:$AE$300,source!$AD$15:$AD$300=_xlfn.CONCAT($C50,LEFT(G$15,1),"Y"),""))</f>
        <v>Identified processes and procedures needs to be properly designed and documented with all relevant information like scope, purpose, inputs, outputs, roles and responsibilities, and other. The processes and procedures should be also reviewed and approved by the management.
Once the processes and procedures are published, appropriate training is required to ensure they are followed by the PKI management and staff. Without following the processes and procedures, the PKI can be exposed to the risks and threats, and eventually lose any established trust.</v>
      </c>
      <c r="H50" s="35" t="str" cm="1">
        <f t="array" ref="H50">_xlfn.TEXTJOIN(CHAR(10),0,_xlfn._xlws.FILTER(source!$AE$15:$AE$300,source!$AD$15:$AD$300=_xlfn.CONCAT($C50,LEFT(H$15,1),"Y"),""))</f>
        <v>The following is sample evidence and information that can be collected during the assessment:
• Documented processes and procedures
• Completeness of the processes and procedures documentation
• Evidence of the processes and procedures usage
• Interview with the PKI management and staff
• Training materials covering the processes and procedures</v>
      </c>
      <c r="I50" s="190" t="s">
        <v>49</v>
      </c>
      <c r="J50" s="774"/>
      <c r="K50" s="594"/>
      <c r="L50" s="594"/>
      <c r="M50" s="595"/>
      <c r="N50">
        <f>IF(I50="",0,VLOOKUP(I50,tech!$A$13:$B$17,2,0))*E50</f>
        <v>9</v>
      </c>
      <c r="O50" t="str">
        <f>IF(D50="","",IF(B50=0,tech!$B$9,IF(AND(B50=1,N50=0),tech!$B$21,I50)))</f>
        <v>Advanced</v>
      </c>
    </row>
    <row r="51" spans="2:15" ht="165" customHeight="1" x14ac:dyDescent="0.25">
      <c r="B51">
        <f>IF(B$46=0,0,IF(F51=tech!$B$9,0,1))</f>
        <v>1</v>
      </c>
      <c r="C51" s="61" t="s">
        <v>70</v>
      </c>
      <c r="D51" s="65" t="str">
        <f>IFERROR(VLOOKUP(C51,source!$AB$4:$AD$13,3,0),"")</f>
        <v>Recurring activities are executed on time</v>
      </c>
      <c r="E51" s="66">
        <f>IFERROR(VLOOKUP(C51,source!$AB$4:$AD$13,2,0),0)*B51</f>
        <v>5</v>
      </c>
      <c r="F51" s="12" t="str">
        <f>IF(Scoping!K30=tech!$A$5,tech!$B$9,"")</f>
        <v/>
      </c>
      <c r="G51" s="12" t="str" cm="1">
        <f t="array" ref="G51">_xlfn.TEXTJOIN(CHAR(10),0,_xlfn._xlws.FILTER(source!$AE$15:$AE$300,source!$AD$15:$AD$300=_xlfn.CONCAT($C51,LEFT(G$15,1),"Y"),""))</f>
        <v>Recurring activities are the activities that are performed on a regular basis, such as certificate management operations, backup procedures, security reviews, risk assessment, reviews of logs and security events, and other.
Each activity should be tracked and have a frequency defined, for example, some activities may be performed daily, weekly, monthly, quarterly, or yearly. The activities should be performed on time, and any delays should be properly tracked and reported.
Recurring activities needs to be incorporated into the processes and procedures to support the PKI implementation.</v>
      </c>
      <c r="H51" s="35" t="str" cm="1">
        <f t="array" ref="H51">_xlfn.TEXTJOIN(CHAR(10),0,_xlfn._xlws.FILTER(source!$AE$15:$AE$300,source!$AD$15:$AD$300=_xlfn.CONCAT($C51,LEFT(H$15,1),"Y"),""))</f>
        <v>The following is sample evidence and information that can be collected during the assessment:
• Documented business as usual activities
• Evidence of the business as usual activities execution
• business as usual activities tracking and Reporting
• Calendar of activities
• Interview with the PKI management and staff</v>
      </c>
      <c r="I51" s="190" t="s">
        <v>51</v>
      </c>
      <c r="J51" s="774"/>
      <c r="K51" s="594"/>
      <c r="L51" s="594"/>
      <c r="M51" s="595"/>
      <c r="N51">
        <f>IF(I51="",0,VLOOKUP(I51,tech!$A$13:$B$17,2,0))*E51</f>
        <v>25</v>
      </c>
      <c r="O51" t="str">
        <f>IF(D51="","",IF(B51=0,tech!$B$9,IF(AND(B51=1,N51=0),tech!$B$21,I51)))</f>
        <v>Optimized</v>
      </c>
    </row>
    <row r="52" spans="2:15" ht="135" customHeight="1" x14ac:dyDescent="0.25">
      <c r="B52">
        <f>IF(B$46=0,0,IF(F52=tech!$B$9,0,1))</f>
        <v>1</v>
      </c>
      <c r="C52" s="61" t="s">
        <v>71</v>
      </c>
      <c r="D52" s="65" t="str">
        <f>IFERROR(VLOOKUP(C52,source!$AB$4:$AD$13,3,0),"")</f>
        <v>Evidence from procedures is collected and maintained</v>
      </c>
      <c r="E52" s="66">
        <f>IFERROR(VLOOKUP(C52,source!$AB$4:$AD$13,2,0),0)*B52</f>
        <v>3</v>
      </c>
      <c r="F52" s="12" t="str">
        <f>IF(Scoping!K31=tech!$A$5,tech!$B$9,"")</f>
        <v/>
      </c>
      <c r="G52" s="12" t="str" cm="1">
        <f t="array" ref="G52">_xlfn.TEXTJOIN(CHAR(10),0,_xlfn._xlws.FILTER(source!$AE$15:$AE$300,source!$AD$15:$AD$300=_xlfn.CONCAT($C52,LEFT(G$15,1),"Y"),""))</f>
        <v>Each process, procedure, instruction, or activity would not be effective without evidence confirming that it was performed. The evidence should be descriptive with all relevant information, such as date and time, who performed the activity, what was the result, and other information, if needed. 
The evidence can be collected and maintained in various forms, such as logs, reports, notes, screenshots, etc. The evidence should be collected and maintained for the defined period of time, and should be available for the audit or other purposes.</v>
      </c>
      <c r="H52" s="35" t="str" cm="1">
        <f t="array" ref="H52">_xlfn.TEXTJOIN(CHAR(10),0,_xlfn._xlws.FILTER(source!$AE$15:$AE$300,source!$AD$15:$AD$300=_xlfn.CONCAT($C52,LEFT(H$15,1),"Y"),""))</f>
        <v>The following is sample evidence and information that can be collected during the assessment:
• Evidence of the execution of the processes and procedures
• Interview with the PKI management and staff
• Logs, reports, notes, screenshots, and other evidence</v>
      </c>
      <c r="I52" s="190" t="s">
        <v>49</v>
      </c>
      <c r="J52" s="774"/>
      <c r="K52" s="594"/>
      <c r="L52" s="594"/>
      <c r="M52" s="595"/>
      <c r="N52">
        <f>IF(I52="",0,VLOOKUP(I52,tech!$A$13:$B$17,2,0))*E52</f>
        <v>9</v>
      </c>
      <c r="O52" t="str">
        <f>IF(D52="","",IF(B52=0,tech!$B$9,IF(AND(B52=1,N52=0),tech!$B$21,I52)))</f>
        <v>Advanced</v>
      </c>
    </row>
    <row r="53" spans="2:15" ht="119.25" customHeight="1" thickBot="1" x14ac:dyDescent="0.3">
      <c r="B53">
        <f>IF(B$46=0,0,IF(F53=tech!$B$9,0,1))</f>
        <v>1</v>
      </c>
      <c r="C53" s="62" t="s">
        <v>72</v>
      </c>
      <c r="D53" s="67" t="str">
        <f>IFERROR(VLOOKUP(C53,source!$AB$4:$AD$13,3,0),"")</f>
        <v>Processes and procedures are reviewed and updated</v>
      </c>
      <c r="E53" s="68">
        <f>IFERROR(VLOOKUP(C53,source!$AB$4:$AD$13,2,0),0)*B53</f>
        <v>2</v>
      </c>
      <c r="F53" s="13" t="str">
        <f>IF(Scoping!K32=tech!$A$5,tech!$B$9,"")</f>
        <v/>
      </c>
      <c r="G53" s="13" t="str" cm="1">
        <f t="array" ref="G53">_xlfn.TEXTJOIN(CHAR(10),0,_xlfn._xlws.FILTER(source!$AE$15:$AE$300,source!$AD$15:$AD$300=_xlfn.CONCAT($C53,LEFT(G$15,1),"Y"),""))</f>
        <v>The processes and procedures should be reviewed and updated on a regular basis, based on the feedback, risk assessment, audit, or other. The review should be performed by the management, and the updates should be approved by the management.
The review and update of the processes and procedures helps to keep the PKI implementation up to date, and helps to ensure that the processes and procedures are effective and efficient.</v>
      </c>
      <c r="H53" s="36" t="str" cm="1">
        <f t="array" ref="H53">_xlfn.TEXTJOIN(CHAR(10),0,_xlfn._xlws.FILTER(source!$AE$15:$AE$300,source!$AD$15:$AD$300=_xlfn.CONCAT($C53,LEFT(H$15,1),"Y"),""))</f>
        <v>The following is sample evidence and information that can be collected during the assessment:
• Documented review and update process
• Evidence of the review and update of the processes and procedures
• Interview with the PKI management and staff</v>
      </c>
      <c r="I53" s="191" t="s">
        <v>50</v>
      </c>
      <c r="J53" s="775"/>
      <c r="K53" s="776"/>
      <c r="L53" s="776"/>
      <c r="M53" s="777"/>
      <c r="N53">
        <f>IF(I53="",0,VLOOKUP(I53,tech!$A$13:$B$17,2,0))*E53</f>
        <v>8</v>
      </c>
      <c r="O53" t="str">
        <f>IF(D53="","",IF(B53=0,tech!$B$9,IF(AND(B53=1,N53=0),tech!$B$21,I53)))</f>
        <v>Managed</v>
      </c>
    </row>
    <row r="54" spans="2:15" ht="19.5" hidden="1" thickBot="1" x14ac:dyDescent="0.3">
      <c r="B54">
        <f>IF(B$46=0,0,IF(F54=tech!$B$9,0,1))</f>
        <v>1</v>
      </c>
      <c r="C54" s="214" t="s">
        <v>73</v>
      </c>
      <c r="D54" s="215" t="str">
        <f>IFERROR(VLOOKUP(C54,source!$AB$4:$AD$13,3,0),"")</f>
        <v/>
      </c>
      <c r="E54" s="216">
        <f>IFERROR(VLOOKUP(C54,source!$AB$4:$AD$13,2,0),0)*B54</f>
        <v>0</v>
      </c>
      <c r="F54" s="211" t="str">
        <f>IF(Scoping!K33=tech!$A$5,tech!$B$9,"")</f>
        <v/>
      </c>
      <c r="G54" s="211" t="str" cm="1">
        <f t="array" ref="G54">_xlfn.TEXTJOIN(CHAR(10),0,_xlfn._xlws.FILTER(source!$AE$15:$AE$300,source!$AD$15:$AD$300=_xlfn.CONCAT($C54,LEFT(G$15,1),"Y"),""))</f>
        <v/>
      </c>
      <c r="H54" s="212" t="str" cm="1">
        <f t="array" ref="H54">_xlfn.TEXTJOIN(CHAR(10),0,_xlfn._xlws.FILTER(source!$AE$15:$AE$300,source!$AD$15:$AD$300=_xlfn.CONCAT($C54,LEFT(H$15,1),"Y"),""))</f>
        <v/>
      </c>
      <c r="I54" s="217"/>
      <c r="J54" s="778"/>
      <c r="K54" s="779"/>
      <c r="L54" s="779"/>
      <c r="M54" s="780"/>
      <c r="N54">
        <f>IF(I54="",0,VLOOKUP(I54,tech!$A$13:$B$17,2,0))*E54</f>
        <v>0</v>
      </c>
      <c r="O54" t="str">
        <f>IF(D54="","",IF(B54=0,tech!$B$9,IF(AND(B54=1,N54=0),tech!$B$21,I54)))</f>
        <v/>
      </c>
    </row>
    <row r="56" spans="2:15" ht="15.75" thickBot="1" x14ac:dyDescent="0.3"/>
    <row r="57" spans="2:15" ht="15" customHeight="1" x14ac:dyDescent="0.25">
      <c r="C57" s="865" t="s">
        <v>28</v>
      </c>
      <c r="D57" s="816"/>
      <c r="E57" s="816"/>
      <c r="F57" s="816" t="str">
        <f>IF(AND(B62=0,B73=0,B85=0,B96=0),tech!$A$9,"")</f>
        <v/>
      </c>
      <c r="G57" s="816"/>
      <c r="H57" s="816"/>
      <c r="I57" s="816"/>
      <c r="J57" s="816"/>
      <c r="K57" s="816"/>
      <c r="L57" s="816"/>
      <c r="M57" s="817"/>
    </row>
    <row r="58" spans="2:15" ht="15" customHeight="1" x14ac:dyDescent="0.25">
      <c r="C58" s="866"/>
      <c r="D58" s="818"/>
      <c r="E58" s="818"/>
      <c r="F58" s="818"/>
      <c r="G58" s="818"/>
      <c r="H58" s="818"/>
      <c r="I58" s="818"/>
      <c r="J58" s="818"/>
      <c r="K58" s="818"/>
      <c r="L58" s="818"/>
      <c r="M58" s="819"/>
      <c r="N58">
        <f>IF(SUM(E62,E73,E85,E96)=0,0,TRUNC((IF(B62=0,0,SUM(N65:N70)/SUM(E65:E70)*E62)+IF(B73=0,0,SUM(N76:N82)/SUM(E76:E82)*E73)+IF(B85=0,0,SUM(N88:N93)/SUM(E88:E93)*E85)+IF(B96=0,0,SUM(N99:N104)/SUM(E99:E104)*E96))/SUM(E62,E73,E85,E96),0))</f>
        <v>2</v>
      </c>
    </row>
    <row r="59" spans="2:15" ht="15.75" customHeight="1" thickBot="1" x14ac:dyDescent="0.3">
      <c r="C59" s="867"/>
      <c r="D59" s="820"/>
      <c r="E59" s="820"/>
      <c r="F59" s="820"/>
      <c r="G59" s="820"/>
      <c r="H59" s="820"/>
      <c r="I59" s="820"/>
      <c r="J59" s="820"/>
      <c r="K59" s="820"/>
      <c r="L59" s="820"/>
      <c r="M59" s="821"/>
      <c r="N59">
        <f>IF(SUM(E62,E73,E85,E96)=0,0,(IF(B62=0,0,SUM(N65:N70)/SUM(E65:E70)*E62)+IF(B73=0,0,SUM(N76:N82)/SUM(E76:E82)*E73)+IF(B85=0,0,SUM(N88:N93)/SUM(E88:E93)*E85)+IF(B96=0,0,SUM(N99:N104)/SUM(E99:E104)*E96))/SUM(E62,E73,E85,E96))</f>
        <v>2.9057199211045366</v>
      </c>
    </row>
    <row r="60" spans="2:15" ht="15.75" thickBot="1" x14ac:dyDescent="0.3"/>
    <row r="61" spans="2:15" ht="15" customHeight="1" x14ac:dyDescent="0.25">
      <c r="C61" s="810" t="str">
        <f>tech!A121</f>
        <v>2.1. Key Management</v>
      </c>
      <c r="D61" s="795"/>
      <c r="E61" s="185" t="s">
        <v>1</v>
      </c>
      <c r="F61" s="795" t="str">
        <f>IF(B62=0,tech!$A$9,"")</f>
        <v/>
      </c>
      <c r="G61" s="795"/>
      <c r="H61" s="795"/>
      <c r="I61" s="795"/>
      <c r="J61" s="795"/>
      <c r="K61" s="795"/>
      <c r="L61" s="795"/>
      <c r="M61" s="796"/>
    </row>
    <row r="62" spans="2:15" ht="15" customHeight="1" x14ac:dyDescent="0.25">
      <c r="B62">
        <f>IF(Scoping!F34=tech!$A$5,0,1)</f>
        <v>1</v>
      </c>
      <c r="C62" s="811"/>
      <c r="D62" s="797"/>
      <c r="E62" s="137">
        <f>VLOOKUP(C61,tech!$A$117:$B$131,2,0)*B62</f>
        <v>4</v>
      </c>
      <c r="F62" s="797"/>
      <c r="G62" s="797"/>
      <c r="H62" s="797"/>
      <c r="I62" s="797"/>
      <c r="J62" s="797"/>
      <c r="K62" s="797"/>
      <c r="L62" s="797"/>
      <c r="M62" s="798"/>
      <c r="N62">
        <f>IF(SUM(B65:B70)=0,0,TRUNC(SUM(N65:N70)/SUM(E65:E70),0))</f>
        <v>3</v>
      </c>
    </row>
    <row r="63" spans="2:15" ht="15.75" thickBot="1" x14ac:dyDescent="0.3">
      <c r="C63" s="792"/>
      <c r="D63" s="793"/>
      <c r="E63" s="793"/>
      <c r="F63" s="793"/>
      <c r="G63" s="793"/>
      <c r="H63" s="793"/>
      <c r="I63" s="793"/>
      <c r="J63" s="793"/>
      <c r="K63" s="793"/>
      <c r="L63" s="793"/>
      <c r="M63" s="794"/>
    </row>
    <row r="64" spans="2:15" ht="15.75" thickBot="1" x14ac:dyDescent="0.3">
      <c r="C64" s="47" t="s">
        <v>10</v>
      </c>
      <c r="D64" s="48" t="s">
        <v>9</v>
      </c>
      <c r="E64" s="49" t="s">
        <v>1</v>
      </c>
      <c r="F64" s="50" t="s">
        <v>55</v>
      </c>
      <c r="G64" s="50" t="s">
        <v>7</v>
      </c>
      <c r="H64" s="51" t="s">
        <v>8</v>
      </c>
      <c r="I64" s="192" t="s">
        <v>141</v>
      </c>
      <c r="J64" s="765" t="s">
        <v>11</v>
      </c>
      <c r="K64" s="766"/>
      <c r="L64" s="766" t="s">
        <v>151</v>
      </c>
      <c r="M64" s="767"/>
    </row>
    <row r="65" spans="2:15" ht="210" customHeight="1" x14ac:dyDescent="0.25">
      <c r="B65">
        <f>IF(B$62=0,0,IF(F65=tech!$B$9,0,1))</f>
        <v>1</v>
      </c>
      <c r="C65" s="52" t="s">
        <v>74</v>
      </c>
      <c r="D65" s="41" t="str">
        <f>IFERROR(VLOOKUP(C65,source!$AH$4:$AJ$13,3,0),"")</f>
        <v>Key management roles and responsibilities are documented and formally assigned</v>
      </c>
      <c r="E65" s="42">
        <f>IFERROR(VLOOKUP(C65,source!$AH$4:$AJ$13,2,0),0)*B65</f>
        <v>2</v>
      </c>
      <c r="F65" s="11" t="str">
        <f>IF(Scoping!K34=tech!$A$5,tech!$B$9,"")</f>
        <v/>
      </c>
      <c r="G65" s="22" t="str" cm="1">
        <f t="array" ref="G65">_xlfn.TEXTJOIN(CHAR(10),0,_xlfn._xlws.FILTER(source!$AK$15:$AK$300,source!$AJ$15:$AJ$300=_xlfn.CONCAT($C65,LEFT(G$15,1),"Y"),""))</f>
        <v>Proper definition of roles and responsibilities for key management operations establishes a good basis for accountability and auditing. The roles and responsibilities should follow key management policy, principles, and boundaries.
Personnel should be formally assigned to the role based on appropriate skills, and background check to ensure that there are no external risks associated that can cause potential compromise of key management.
Naming or assignment records should contain relevant information such as:
• Identification of personnel
• Role to be assigned
• Date of appointment
• Confirmation of required skills
• Acknowledgment of responsibilities</v>
      </c>
      <c r="H65" s="34" t="str" cm="1">
        <f t="array" ref="H65">_xlfn.TEXTJOIN(CHAR(10),0,_xlfn._xlws.FILTER(source!$AK$15:$AK$300,source!$AJ$15:$AJ$300=_xlfn.CONCAT($C65,LEFT(H$15,1),"Y"),""))</f>
        <v>• Documented roles and responsibilities
• Signed naming protocol of personnel to Role(s)
• Roles and responsibilities matrix (that may be used to cross-check if there are any conflicting roles)
• Validation of required knowledge and skills
• Review according to the key management policy</v>
      </c>
      <c r="I65" s="193" t="s">
        <v>49</v>
      </c>
      <c r="J65" s="663"/>
      <c r="K65" s="664"/>
      <c r="L65" s="664"/>
      <c r="M65" s="753"/>
      <c r="N65">
        <f>IF(I65="",0,VLOOKUP(I65,tech!$A$13:$B$17,2,0))*E65</f>
        <v>6</v>
      </c>
      <c r="O65" t="str">
        <f>IF(D65="","",IF(B65=0,tech!$B$9,IF(AND(B65=1,N65=0),tech!$B$21,I65)))</f>
        <v>Advanced</v>
      </c>
    </row>
    <row r="66" spans="2:15" ht="255" customHeight="1" x14ac:dyDescent="0.25">
      <c r="B66">
        <f>IF(B$62=0,0,IF(F66=tech!$B$9,0,1))</f>
        <v>1</v>
      </c>
      <c r="C66" s="53" t="s">
        <v>75</v>
      </c>
      <c r="D66" s="43" t="str">
        <f>IFERROR(VLOOKUP(C66,source!$AH$4:$AJ$13,3,0),"")</f>
        <v>Inventory of cryptographic keys is documented and maintained</v>
      </c>
      <c r="E66" s="44">
        <f>IFERROR(VLOOKUP(C66,source!$AH$4:$AJ$13,2,0),0)*B66</f>
        <v>2</v>
      </c>
      <c r="F66" s="12" t="str">
        <f>IF(Scoping!K35=tech!$A$5,tech!$B$9,"")</f>
        <v/>
      </c>
      <c r="G66" s="12" t="str" cm="1">
        <f t="array" ref="G66">_xlfn.TEXTJOIN(CHAR(10),0,_xlfn._xlws.FILTER(source!$AK$15:$AK$300,source!$AJ$15:$AJ$300=_xlfn.CONCAT($C66,LEFT(G$15,1),"Y"),""))</f>
        <v>Inventory of cryptographic keys is important and a strategic database for organizations to:
• Monitor cryptographic key status and compliance
• Quickly react to changes and incidents (deprecation of algorithms, compromise, new attacks and vulnerabilities)
• Understand impact of lifecycle changes, migration and use of keys
Although the cryptographic key inventory may be implemented and maintained using various tools and approaches, it should serve the purpose of having a consistent and accurate map of all cryptographic keys deployed in the organization with details like algorithm, key length, usage, storage, location, generation and distribution method, backup and recovery, key check value, fingerprint, number of share or components, owner or responsible person, uniqueness, crypto-periods, or any other applicable attributes and properties of the key.
Inventory should follow procedures and business as usual activities to keep it accurate and updated in time.</v>
      </c>
      <c r="H66" s="35" t="str" cm="1">
        <f t="array" ref="H66">_xlfn.TEXTJOIN(CHAR(10),0,_xlfn._xlws.FILTER(source!$AK$15:$AK$300,source!$AJ$15:$AJ$300=_xlfn.CONCAT($C66,LEFT(H$15,1),"Y"),""))</f>
        <v>• Documented inventory of cryptographic keys
• Accuracy and consistency
• Completeness of inventory
• Validation of cryptographic key records</v>
      </c>
      <c r="I66" s="194" t="s">
        <v>48</v>
      </c>
      <c r="J66" s="653"/>
      <c r="K66" s="654"/>
      <c r="L66" s="654"/>
      <c r="M66" s="752"/>
      <c r="N66">
        <f>IF(I66="",0,VLOOKUP(I66,tech!$A$13:$B$17,2,0))*E66</f>
        <v>4</v>
      </c>
      <c r="O66" t="str">
        <f>IF(D66="","",IF(B66=0,tech!$B$9,IF(AND(B66=1,N66=0),tech!$B$21,I66)))</f>
        <v>Basic</v>
      </c>
    </row>
    <row r="67" spans="2:15" ht="255" customHeight="1" x14ac:dyDescent="0.25">
      <c r="B67">
        <f>IF(B$62=0,0,IF(F67=tech!$B$9,0,1))</f>
        <v>1</v>
      </c>
      <c r="C67" s="53" t="s">
        <v>76</v>
      </c>
      <c r="D67" s="43" t="str">
        <f>IFERROR(VLOOKUP(C67,source!$AH$4:$AJ$13,3,0),"")</f>
        <v>Inventory of cryptographic devices is documented and maintained</v>
      </c>
      <c r="E67" s="44">
        <f>IFERROR(VLOOKUP(C67,source!$AH$4:$AJ$13,2,0),0)*B67</f>
        <v>1</v>
      </c>
      <c r="F67" s="12" t="str">
        <f>IF(Scoping!K36=tech!$A$5,tech!$B$9,"")</f>
        <v/>
      </c>
      <c r="G67" s="12" t="str" cm="1">
        <f t="array" ref="G67">_xlfn.TEXTJOIN(CHAR(10),0,_xlfn._xlws.FILTER(source!$AK$15:$AK$300,source!$AJ$15:$AJ$300=_xlfn.CONCAT($C67,LEFT(G$15,1),"Y"),""))</f>
        <v>Sensitive cryptographic keys are protected by hardware security modules that can have various forms and comply with security standards such as FIPS 140-3 or Common Criteria Protection Profiles. The keys may be in some case software-protected when there is no high risk associated with its compromise.
The approved ways of protecting cryptographic keys should have defined rules, which can be specified by the key management policy and followed using the key management procedures. Cryptographic devices that protect keys may be quickly identified using the inventory of cryptographic keys with reference to an inventory of cryptographic devices.
The inventory of cryptographic devices should contain relevant information such as:
• Vendor and device model Identification
• Serial numbers
• Hardware / firmware / software versions
• Security certification and expiration dates
• Locations</v>
      </c>
      <c r="H67" s="35" t="str" cm="1">
        <f t="array" ref="H67">_xlfn.TEXTJOIN(CHAR(10),0,_xlfn._xlws.FILTER(source!$AK$15:$AK$300,source!$AJ$15:$AJ$300=_xlfn.CONCAT($C67,LEFT(H$15,1),"Y"),""))</f>
        <v>• Documented requirements for cryptographic devices
• Documented inventory of cryptographic devices
• Completeness, accuracy, and consistency of inventory
• Validation of records</v>
      </c>
      <c r="I67" s="194" t="s">
        <v>50</v>
      </c>
      <c r="J67" s="653"/>
      <c r="K67" s="654"/>
      <c r="L67" s="654"/>
      <c r="M67" s="752"/>
      <c r="N67">
        <f>IF(I67="",0,VLOOKUP(I67,tech!$A$13:$B$17,2,0))*E67</f>
        <v>4</v>
      </c>
      <c r="O67" t="str">
        <f>IF(D67="","",IF(B67=0,tech!$B$9,IF(AND(B67=1,N67=0),tech!$B$21,I67)))</f>
        <v>Managed</v>
      </c>
    </row>
    <row r="68" spans="2:15" ht="195" customHeight="1" x14ac:dyDescent="0.25">
      <c r="B68">
        <f>IF(B$62=0,0,IF(F68=tech!$B$9,0,1))</f>
        <v>1</v>
      </c>
      <c r="C68" s="53" t="s">
        <v>77</v>
      </c>
      <c r="D68" s="43" t="str">
        <f>IFERROR(VLOOKUP(C68,source!$AH$4:$AJ$13,3,0),"")</f>
        <v>Each cryptographic key is defined and has documented lifecycle procedures</v>
      </c>
      <c r="E68" s="44">
        <f>IFERROR(VLOOKUP(C68,source!$AH$4:$AJ$13,2,0),0)*B68</f>
        <v>2</v>
      </c>
      <c r="F68" s="12" t="str">
        <f>IF(Scoping!K37=tech!$A$5,tech!$B$9,"")</f>
        <v/>
      </c>
      <c r="G68" s="12" t="str" cm="1">
        <f t="array" ref="G68">_xlfn.TEXTJOIN(CHAR(10),0,_xlfn._xlws.FILTER(source!$AK$15:$AK$300,source!$AJ$15:$AJ$300=_xlfn.CONCAT($C68,LEFT(G$15,1),"Y"),""))</f>
        <v>Each cryptographic key type that is defined and used for specific use-case should have a complete description of its lifecycle. Each lifecycle phase has a proper description of the process and is backed up with the procedure that is executed when needed.
The key can have various lifecycle phases, such as generation, registration, initialization, distribution, loading, storage, archiving, backup, recovery, revocation, removal, destruction, or others applicable for the key.
The lifecycle phases contains appropriate description of the procedure such as:
• Prerequisites for execution
• required roles and permissions
• Procedure and records</v>
      </c>
      <c r="H68" s="35" t="str" cm="1">
        <f t="array" ref="H68">_xlfn.TEXTJOIN(CHAR(10),0,_xlfn._xlws.FILTER(source!$AK$15:$AK$300,source!$AJ$15:$AJ$300=_xlfn.CONCAT($C68,LEFT(H$15,1),"Y"),""))</f>
        <v>• Examine the definition of cryptographic key
• Documented key lifecycle phases
• Documented procedures and related records for the key lifecycle
• lifecycle is integrated and followed in the organization</v>
      </c>
      <c r="I68" s="194" t="s">
        <v>50</v>
      </c>
      <c r="J68" s="653"/>
      <c r="K68" s="654"/>
      <c r="L68" s="654"/>
      <c r="M68" s="752"/>
      <c r="N68">
        <f>IF(I68="",0,VLOOKUP(I68,tech!$A$13:$B$17,2,0))*E68</f>
        <v>8</v>
      </c>
      <c r="O68" t="str">
        <f>IF(D68="","",IF(B68=0,tech!$B$9,IF(AND(B68=1,N68=0),tech!$B$21,I68)))</f>
        <v>Managed</v>
      </c>
    </row>
    <row r="69" spans="2:15" ht="195" x14ac:dyDescent="0.25">
      <c r="B69">
        <f>IF(B$62=0,0,IF(F69=tech!$B$9,0,1))</f>
        <v>1</v>
      </c>
      <c r="C69" s="53" t="s">
        <v>78</v>
      </c>
      <c r="D69" s="43" t="str">
        <f>IFERROR(VLOOKUP(C69,source!$AH$4:$AJ$13,3,0),"")</f>
        <v>Cryptographic cipher suites and protocols are documented and maintained</v>
      </c>
      <c r="E69" s="44">
        <f>IFERROR(VLOOKUP(C69,source!$AH$4:$AJ$13,2,0),0)*B69</f>
        <v>2</v>
      </c>
      <c r="F69" s="12" t="str">
        <f>IF(Scoping!K38=tech!$A$5,tech!$B$9,"")</f>
        <v/>
      </c>
      <c r="G69" s="12" t="str" cm="1">
        <f t="array" ref="G69">_xlfn.TEXTJOIN(CHAR(10),0,_xlfn._xlws.FILTER(source!$AK$15:$AK$300,source!$AJ$15:$AJ$300=_xlfn.CONCAT($C69,LEFT(G$15,1),"Y"),""))</f>
        <v>Protocols and encryption strengths may quickly change or be deprecated due to identification of vulnerabilities or design flaws. In order to support current and future data security needs, the organization should know where cryptography is used and understand how they would be able to respond rapidly to changes impacting the strength of their cryptographic implementations.
Specific rules and boundaries to be applied for cryptographic cipher suites and protocols should be documented in encryption management policy that reflect the current status of cryptography practice.
Cipher suites and protocols should be regularly checked against the implemented technology and configuration. Any deviation from the documented and allowed protocols should be fixed.</v>
      </c>
      <c r="H69" s="35" t="str" cm="1">
        <f t="array" ref="H69">_xlfn.TEXTJOIN(CHAR(10),0,_xlfn._xlws.FILTER(source!$AK$15:$AK$300,source!$AJ$15:$AJ$300=_xlfn.CONCAT($C69,LEFT(H$15,1),"Y"),""))</f>
        <v>• Documented encryption management policy
• Validation of implementation and used protocols against what is Documented
• Accuracy of the description
• Security and vulnerabilities of applicable cipher suites and protocols</v>
      </c>
      <c r="I69" s="194" t="s">
        <v>48</v>
      </c>
      <c r="J69" s="653"/>
      <c r="K69" s="654"/>
      <c r="L69" s="654"/>
      <c r="M69" s="752"/>
      <c r="N69">
        <f>IF(I69="",0,VLOOKUP(I69,tech!$A$13:$B$17,2,0))*E69</f>
        <v>4</v>
      </c>
      <c r="O69" t="str">
        <f>IF(D69="","",IF(B69=0,tech!$B$9,IF(AND(B69=1,N69=0),tech!$B$21,I69)))</f>
        <v>Basic</v>
      </c>
    </row>
    <row r="70" spans="2:15" ht="135" customHeight="1" thickBot="1" x14ac:dyDescent="0.3">
      <c r="B70">
        <f>IF(B$62=0,0,IF(F70=tech!$B$9,0,1))</f>
        <v>1</v>
      </c>
      <c r="C70" s="54" t="s">
        <v>79</v>
      </c>
      <c r="D70" s="45" t="str">
        <f>IFERROR(VLOOKUP(C70,source!$AH$4:$AJ$13,3,0),"")</f>
        <v>Key management is periodically reviewed and updated</v>
      </c>
      <c r="E70" s="46">
        <f>IFERROR(VLOOKUP(C70,source!$AH$4:$AJ$13,2,0),0)*B70</f>
        <v>3</v>
      </c>
      <c r="F70" s="13" t="str">
        <f>IF(Scoping!K39=tech!$A$5,tech!$B$9,"")</f>
        <v/>
      </c>
      <c r="G70" s="13" t="str" cm="1">
        <f t="array" ref="G70">_xlfn.TEXTJOIN(CHAR(10),0,_xlfn._xlws.FILTER(source!$AK$15:$AK$300,source!$AJ$15:$AJ$300=_xlfn.CONCAT($C70,LEFT(G$15,1),"Y"),""))</f>
        <v>Key management policy, processes and procedures related to cryptographic keys, inventory and lifecycle should be periodically reviewed, updated and approved. The frequency of review should be based on the organizational risks and needs to be protected against current and future trends.
Periodical review helps to keep the key management accurate and helps to maintain required skills and knowledge.
It provides assurance that the expected controls are active and working as intended.</v>
      </c>
      <c r="H70" s="36" t="str" cm="1">
        <f t="array" ref="H70">_xlfn.TEXTJOIN(CHAR(10),0,_xlfn._xlws.FILTER(source!$AK$15:$AK$300,source!$AJ$15:$AJ$300=_xlfn.CONCAT($C70,LEFT(H$15,1),"Y"),""))</f>
        <v>• Risk management and Review frequency
• implementation of Review process
• Validation of documentation and reviews</v>
      </c>
      <c r="I70" s="195" t="s">
        <v>50</v>
      </c>
      <c r="J70" s="657"/>
      <c r="K70" s="640"/>
      <c r="L70" s="640"/>
      <c r="M70" s="751"/>
      <c r="N70">
        <f>IF(I70="",0,VLOOKUP(I70,tech!$A$13:$B$17,2,0))*E70</f>
        <v>12</v>
      </c>
      <c r="O70" t="str">
        <f>IF(D70="","",IF(B70=0,tech!$B$9,IF(AND(B70=1,N70=0),tech!$B$21,I70)))</f>
        <v>Managed</v>
      </c>
    </row>
    <row r="71" spans="2:15" ht="15.75" thickBot="1" x14ac:dyDescent="0.3"/>
    <row r="72" spans="2:15" ht="15" customHeight="1" x14ac:dyDescent="0.25">
      <c r="C72" s="810" t="str">
        <f>tech!A122</f>
        <v>2.2. Certificate Management</v>
      </c>
      <c r="D72" s="795"/>
      <c r="E72" s="185" t="s">
        <v>1</v>
      </c>
      <c r="F72" s="795" t="str">
        <f>IF(B73=0,tech!$A$9,"")</f>
        <v/>
      </c>
      <c r="G72" s="795"/>
      <c r="H72" s="795"/>
      <c r="I72" s="795"/>
      <c r="J72" s="795"/>
      <c r="K72" s="795"/>
      <c r="L72" s="795"/>
      <c r="M72" s="796"/>
    </row>
    <row r="73" spans="2:15" ht="15" customHeight="1" x14ac:dyDescent="0.25">
      <c r="B73">
        <f>IF(Scoping!F40=tech!$A$5,0,1)</f>
        <v>1</v>
      </c>
      <c r="C73" s="811"/>
      <c r="D73" s="797"/>
      <c r="E73" s="137">
        <f>VLOOKUP(C72,tech!$A$117:$B$131,2,0)*B73</f>
        <v>4</v>
      </c>
      <c r="F73" s="797"/>
      <c r="G73" s="797"/>
      <c r="H73" s="797"/>
      <c r="I73" s="797"/>
      <c r="J73" s="797"/>
      <c r="K73" s="797"/>
      <c r="L73" s="797"/>
      <c r="M73" s="798"/>
      <c r="N73">
        <f>IF(SUM(B76:B82)=0,0,TRUNC(SUM(N76:N82)/SUM(E76:E82),0))</f>
        <v>2</v>
      </c>
    </row>
    <row r="74" spans="2:15" ht="15.75" thickBot="1" x14ac:dyDescent="0.3">
      <c r="C74" s="792"/>
      <c r="D74" s="793"/>
      <c r="E74" s="793"/>
      <c r="F74" s="793"/>
      <c r="G74" s="793"/>
      <c r="H74" s="793"/>
      <c r="I74" s="793"/>
      <c r="J74" s="793"/>
      <c r="K74" s="793"/>
      <c r="L74" s="793"/>
      <c r="M74" s="794"/>
    </row>
    <row r="75" spans="2:15" ht="15.75" thickBot="1" x14ac:dyDescent="0.3">
      <c r="C75" s="47" t="s">
        <v>10</v>
      </c>
      <c r="D75" s="48" t="s">
        <v>9</v>
      </c>
      <c r="E75" s="49" t="s">
        <v>1</v>
      </c>
      <c r="F75" s="50" t="s">
        <v>55</v>
      </c>
      <c r="G75" s="50" t="s">
        <v>7</v>
      </c>
      <c r="H75" s="51" t="s">
        <v>8</v>
      </c>
      <c r="I75" s="192" t="s">
        <v>141</v>
      </c>
      <c r="J75" s="765" t="s">
        <v>11</v>
      </c>
      <c r="K75" s="766"/>
      <c r="L75" s="766" t="s">
        <v>151</v>
      </c>
      <c r="M75" s="767"/>
    </row>
    <row r="76" spans="2:15" ht="150" customHeight="1" x14ac:dyDescent="0.25">
      <c r="B76">
        <f>IF(B$73=0,0,IF(F76=tech!$B$9,0,1))</f>
        <v>1</v>
      </c>
      <c r="C76" s="52" t="s">
        <v>80</v>
      </c>
      <c r="D76" s="41" t="str">
        <f>IFERROR(VLOOKUP(C76,source!$AN$4:$AP$13,3,0),"")</f>
        <v>Certificate profiles are documented</v>
      </c>
      <c r="E76" s="42">
        <f>IFERROR(VLOOKUP(C76,source!$AN$4:$AP$13,2,0),0)*B76</f>
        <v>2</v>
      </c>
      <c r="F76" s="11" t="str">
        <f>IF(Scoping!K40=tech!$A$5,tech!$B$9,"")</f>
        <v/>
      </c>
      <c r="G76" s="22" t="str" cm="1">
        <f t="array" ref="G76">_xlfn.TEXTJOIN(CHAR(10),0,_xlfn._xlws.FILTER(source!$AQ$15:$AQ$300,source!$AP$15:$AP$300=_xlfn.CONCAT($C76,LEFT(G$15,1),"Y"),""))</f>
        <v>Certificate profiles specify the contents of certificates for one or more use cases. It defines things such as:
* Certificate use case(s) for certificates covered by specific profiles
* Naming standards for subject distinguished name and subject alternative names, which are allowed and mandatory fields.
* Certificate validity periods
* Certificate extensions, mandatory and allowed extensions, their criticality and possible values
* Allowed key types and signature algorithms
* Revocation profiles, i.e. CRL and/or OCSP</v>
      </c>
      <c r="H76" s="34" t="str" cm="1">
        <f t="array" ref="H76">_xlfn.TEXTJOIN(CHAR(10),0,_xlfn._xlws.FILTER(source!$AQ$15:$AQ$300,source!$AP$15:$AP$300=_xlfn.CONCAT($C76,LEFT(H$15,1),"Y"),""))</f>
        <v>* Documented scope of applicability
* Documented and approved certificate profiles
* Content of the profiles is complete and unambiguous
* Certificate profiles are implemented in certificattion authority
* Certificate profiles are enforced by certification authority
* Certificate profiles are compatible with RFC5280, or deviations are well documented
* Profiles for CRLs and/or OCSP usage, i.e. validity periods, issuance intervals, max revocation time delay, etc</v>
      </c>
      <c r="I76" s="193" t="s">
        <v>50</v>
      </c>
      <c r="J76" s="663"/>
      <c r="K76" s="664"/>
      <c r="L76" s="664"/>
      <c r="M76" s="753"/>
      <c r="N76">
        <f>IF(I76="",0,VLOOKUP(I76,tech!$A$13:$B$17,2,0))*E76</f>
        <v>8</v>
      </c>
      <c r="O76" t="str">
        <f>IF(D76="","",IF(B76=0,tech!$B$9,IF(AND(B76=1,N76=0),tech!$B$21,I76)))</f>
        <v>Managed</v>
      </c>
    </row>
    <row r="77" spans="2:15" ht="90" customHeight="1" x14ac:dyDescent="0.25">
      <c r="B77">
        <f>IF(B$73=0,0,IF(F77=tech!$B$9,0,1))</f>
        <v>1</v>
      </c>
      <c r="C77" s="53" t="s">
        <v>81</v>
      </c>
      <c r="D77" s="43" t="str">
        <f>IFERROR(VLOOKUP(C77,source!$AN$4:$AP$13,3,0),"")</f>
        <v>Certificate cipher suites are documented</v>
      </c>
      <c r="E77" s="44">
        <f>IFERROR(VLOOKUP(C77,source!$AN$4:$AP$13,2,0),0)*B77</f>
        <v>3</v>
      </c>
      <c r="F77" s="12" t="str">
        <f>IF(Scoping!K41=tech!$A$5,tech!$B$9,"")</f>
        <v/>
      </c>
      <c r="G77" s="12" t="str" cm="1">
        <f t="array" ref="G77">_xlfn.TEXTJOIN(CHAR(10),0,_xlfn._xlws.FILTER(source!$AQ$15:$AQ$300,source!$AP$15:$AP$300=_xlfn.CONCAT($C77,LEFT(G$15,1),"Y"),""))</f>
        <v>Cipher suites, for certificates specifically defining key algorithms, key security levels and signature algorithms are important to be crypto agile. For example, the change of the cipher suites can be required when the cryptographic algorithm becomes broken, or deprecated. An organization should have a clear rationale to the usage of specific algorithms, and how long they will be valid and what may replace them in the future.</v>
      </c>
      <c r="H77" s="35" t="str" cm="1">
        <f t="array" ref="H77">_xlfn.TEXTJOIN(CHAR(10),0,_xlfn._xlws.FILTER(source!$AQ$15:$AQ$300,source!$AP$15:$AP$300=_xlfn.CONCAT($C77,LEFT(H$15,1),"Y"),""))</f>
        <v>* Determine the scope of applicability
* Documented and approved cipher suites with rationale for inclusion of algorithms
* Documented agile path for migration to other algorithms when needed
* Cipher suites are enforced by certification authority</v>
      </c>
      <c r="I77" s="194" t="s">
        <v>51</v>
      </c>
      <c r="J77" s="653"/>
      <c r="K77" s="654"/>
      <c r="L77" s="654"/>
      <c r="M77" s="752"/>
      <c r="N77">
        <f>IF(I77="",0,VLOOKUP(I77,tech!$A$13:$B$17,2,0))*E77</f>
        <v>15</v>
      </c>
      <c r="O77" t="str">
        <f>IF(D77="","",IF(B77=0,tech!$B$9,IF(AND(B77=1,N77=0),tech!$B$21,I77)))</f>
        <v>Optimized</v>
      </c>
    </row>
    <row r="78" spans="2:15" ht="360" customHeight="1" x14ac:dyDescent="0.25">
      <c r="B78">
        <f>IF(B$73=0,0,IF(F78=tech!$B$9,0,1))</f>
        <v>1</v>
      </c>
      <c r="C78" s="53" t="s">
        <v>82</v>
      </c>
      <c r="D78" s="43" t="str">
        <f>IFERROR(VLOOKUP(C78,source!$AN$4:$AP$13,3,0),"")</f>
        <v>Certificate lifecycle management is documented</v>
      </c>
      <c r="E78" s="44">
        <f>IFERROR(VLOOKUP(C78,source!$AN$4:$AP$13,2,0),0)*B78</f>
        <v>4</v>
      </c>
      <c r="F78" s="12" t="str">
        <f>IF(Scoping!K42=tech!$A$5,tech!$B$9,"")</f>
        <v/>
      </c>
      <c r="G78" s="12" t="str" cm="1">
        <f t="array" ref="G78">_xlfn.TEXTJOIN(CHAR(10),0,_xlfn._xlws.FILTER(source!$AQ$15:$AQ$300,source!$AP$15:$AP$300=_xlfn.CONCAT($C78,LEFT(G$15,1),"Y"),""))</f>
        <v>Issuance of certificates follow specific procedures, be it manual processes or automated processes using standard or non-standard PKI protocol. An organization should be clear about the full life cycle management of certificates:
1. Certificate Application and the validation procedures used, by RAs and CAs
2. Certificate Issuance and protocols used for enrollment, on-line and off-line
3. Certificate Renewal, Re-key and Modification, upon expiration or other causes
   * Process of monitoring certificates for expiration and timely renewal processes prevent common issues
4. Certificate Revocation
   * When certificates need to be revoked it is important to have a well-defined certificate revocation process:
     * How subjects can request a certificate be revoked
     * How to report misuse of certificates
     * Expected time for revocation to be completed after a revocation request
5. Certificate status dissemination
   * How revocation information is disseminated to relying parties
6. Key escrow and recovery
7. Trust anchor management
   * Trust anchors on machines and devices are a key point of trust management in the organization. Unmanaged trust stores can cause both outages and security issues.</v>
      </c>
      <c r="H78" s="35" t="str" cm="1">
        <f t="array" ref="H78">_xlfn.TEXTJOIN(CHAR(10),0,_xlfn._xlws.FILTER(source!$AQ$15:$AQ$300,source!$AP$15:$AP$300=_xlfn.CONCAT($C78,LEFT(H$15,1),"Y"),""))</f>
        <v>* Documented application and validation rules
* Documented process for issuing certificates
  * configuration of protocols
* Documented Certificate Acceptance and certificate subject installation procedures
* Documented renewal criteria, where re-key is nessecary and which certificate modifications are allowed
  * Documented criticality of expiration for different use cases
  * Automated monitoring and alerting of expiration for critical systems
  * Automated certificate renewal
* Documented revocation process
  * Documented revocation procedures, both for subjects and administrators
  * If suspension is used the process to lift (or remove) suspension
  * Documented contact points for reports in the organizations or from relying parties
  * List of relying parties that depend on updated revocation information
* Documented Certificate status service
  * OCSP and/or CRLs
  * Documentation how relying parties get access to revocation information
* Documented process for key escrow and recovery when encryption keys need to be stored centrally
* Documented trust anchor management
  * Distribution of new and updated trust anchors (Root CA certificates)</v>
      </c>
      <c r="I78" s="194" t="s">
        <v>48</v>
      </c>
      <c r="J78" s="653"/>
      <c r="K78" s="654"/>
      <c r="L78" s="654"/>
      <c r="M78" s="752"/>
      <c r="N78">
        <f>IF(I78="",0,VLOOKUP(I78,tech!$A$13:$B$17,2,0))*E78</f>
        <v>8</v>
      </c>
      <c r="O78" t="str">
        <f>IF(D78="","",IF(B78=0,tech!$B$9,IF(AND(B78=1,N78=0),tech!$B$21,I78)))</f>
        <v>Basic</v>
      </c>
    </row>
    <row r="79" spans="2:15" ht="240" customHeight="1" x14ac:dyDescent="0.25">
      <c r="B79">
        <f>IF(B$73=0,0,IF(F79=tech!$B$9,0,1))</f>
        <v>1</v>
      </c>
      <c r="C79" s="53" t="s">
        <v>83</v>
      </c>
      <c r="D79" s="43" t="str">
        <f>IFERROR(VLOOKUP(C79,source!$AN$4:$AP$13,3,0),"")</f>
        <v>Inventory of issued certificates is documented</v>
      </c>
      <c r="E79" s="44">
        <f>IFERROR(VLOOKUP(C79,source!$AN$4:$AP$13,2,0),0)*B79</f>
        <v>3</v>
      </c>
      <c r="F79" s="12" t="str">
        <f>IF(Scoping!K43=tech!$A$5,tech!$B$9,"")</f>
        <v/>
      </c>
      <c r="G79" s="12" t="str" cm="1">
        <f t="array" ref="G79">_xlfn.TEXTJOIN(CHAR(10),0,_xlfn._xlws.FILTER(source!$AQ$15:$AQ$300,source!$AP$15:$AP$300=_xlfn.CONCAT($C79,LEFT(G$15,1),"Y"),""))</f>
        <v>Certificate inventory consists of all known certificates and provides an overview of known certificates in the organization. Certificates in inventory are subject to certificate lifecycle management. The certificate inventory is important for the organization because:
• it provides immediate access to the current status of certificates
• provides possibility to react on certificate-related events (compromise, change, expiration, etc.)
• Understand impact of lifecycle changes
• it gives information on all Locations of certificates
• can enforce and maintain ownership of certificates
The certificate inventory therefore consists of information related to certificate like certificate attributes, validity and validation information, fingerprint and serial number, trust chain, owner, public key, signature algorithm, certificate type, compliance information, certificate locations, change history, or any other attributes and properties of the certificates that is required.</v>
      </c>
      <c r="H79" s="35" t="str" cm="1">
        <f t="array" ref="H79">_xlfn.TEXTJOIN(CHAR(10),0,_xlfn._xlws.FILTER(source!$AQ$15:$AQ$300,source!$AP$15:$AP$300=_xlfn.CONCAT($C79,LEFT(H$15,1),"Y"),""))</f>
        <v>* Documented inventory
  * How inventory is maintained across the organization
* Documented certificate inventory management
* Validation of certificate inventory records
* Effectiveness of the certificate inventory implementation</v>
      </c>
      <c r="I79" s="194" t="s">
        <v>47</v>
      </c>
      <c r="J79" s="653"/>
      <c r="K79" s="654"/>
      <c r="L79" s="654"/>
      <c r="M79" s="752"/>
      <c r="N79">
        <f>IF(I79="",0,VLOOKUP(I79,tech!$A$13:$B$17,2,0))*E79</f>
        <v>3</v>
      </c>
      <c r="O79" t="str">
        <f>IF(D79="","",IF(B79=0,tech!$B$9,IF(AND(B79=1,N79=0),tech!$B$21,I79)))</f>
        <v>Initial</v>
      </c>
    </row>
    <row r="80" spans="2:15" ht="225" customHeight="1" x14ac:dyDescent="0.25">
      <c r="B80">
        <f>IF(B$73=0,0,IF(F80=tech!$B$9,0,1))</f>
        <v>1</v>
      </c>
      <c r="C80" s="53" t="s">
        <v>84</v>
      </c>
      <c r="D80" s="43" t="str">
        <f>IFERROR(VLOOKUP(C80,source!$AN$4:$AP$13,3,0),"")</f>
        <v>Certificate discovery process is documented</v>
      </c>
      <c r="E80" s="44">
        <f>IFERROR(VLOOKUP(C80,source!$AN$4:$AP$13,2,0),0)*B80</f>
        <v>2</v>
      </c>
      <c r="F80" s="12" t="str">
        <f>IF(Scoping!K44=tech!$A$5,tech!$B$9,"")</f>
        <v/>
      </c>
      <c r="G80" s="12" t="str" cm="1">
        <f t="array" ref="G80">_xlfn.TEXTJOIN(CHAR(10),0,_xlfn._xlws.FILTER(source!$AQ$15:$AQ$300,source!$AP$15:$AP$300=_xlfn.CONCAT($C80,LEFT(G$15,1),"Y"),""))</f>
        <v>Certificate discovery process protects an organization from unknown certificates that may be deployed in the infrastructure. Unknown certificates may be further issued by unauthorized certification authorities and mislead users of services. Certificate discovery helps to maintain current inventory of certificates, but does not depend on the inventory and is not nessecary to maintain an inventory. Certificate discovery process should be implemented based on supported certificates and use-cases, for example:
• to scan the network for certificates used on known protocols and ports to discover certificates that can potentially cause service outage or breach
• search for the certificates on file system to discover unauthorized or unsecured certificates
Discovery process should be run frequently on the specified locations and the certificate inventory should be updated based on the results of the certificate discovery to keep it current.</v>
      </c>
      <c r="H80" s="35" t="str" cm="1">
        <f t="array" ref="H80">_xlfn.TEXTJOIN(CHAR(10),0,_xlfn._xlws.FILTER(source!$AQ$15:$AQ$300,source!$AP$15:$AP$300=_xlfn.CONCAT($C80,LEFT(H$15,1),"Y"),""))</f>
        <v>* Documented certificate discovery requirements
* Documented certificate discovery process and frequency
* The supporting tools for the certificate discovery
* Certificate inventory is updated with discovered certificates</v>
      </c>
      <c r="I80" s="194" t="s">
        <v>48</v>
      </c>
      <c r="J80" s="653"/>
      <c r="K80" s="654"/>
      <c r="L80" s="654"/>
      <c r="M80" s="752"/>
      <c r="N80">
        <f>IF(I80="",0,VLOOKUP(I80,tech!$A$13:$B$17,2,0))*E80</f>
        <v>4</v>
      </c>
      <c r="O80" t="str">
        <f>IF(D80="","",IF(B80=0,tech!$B$9,IF(AND(B80=1,N80=0),tech!$B$21,I80)))</f>
        <v>Basic</v>
      </c>
    </row>
    <row r="81" spans="2:15" ht="150" customHeight="1" x14ac:dyDescent="0.25">
      <c r="B81">
        <f>IF(B$73=0,0,IF(F81=tech!$B$9,0,1))</f>
        <v>1</v>
      </c>
      <c r="C81" s="53" t="s">
        <v>85</v>
      </c>
      <c r="D81" s="204" t="str">
        <f>IFERROR(VLOOKUP(C81,source!$AN$4:$AP$13,3,0),"")</f>
        <v>Certificate management is periodically reviewed and updated</v>
      </c>
      <c r="E81" s="44">
        <f>IFERROR(VLOOKUP(C81,source!$AN$4:$AP$13,2,0),0)*B81</f>
        <v>4</v>
      </c>
      <c r="F81" s="205"/>
      <c r="G81" s="205" t="str" cm="1">
        <f t="array" ref="G81">_xlfn.TEXTJOIN(CHAR(10),0,_xlfn._xlws.FILTER(source!$AQ$15:$AQ$300,source!$AP$15:$AP$300=_xlfn.CONCAT($C81,LEFT(G$15,1),"Y"),""))</f>
        <v>No certificate issuance and management system works over long periods of time without changes to use-cases, processes, protocols and algorithms. It is important that the certificate management is periodically reviewed and updated to avoid gaps. The frequency of review should be based on the organizational risks and needs to be protected against current and future trends.
Periodical review helps to keep the certificate management accurate and helps to maintain required skills and knowledge.
It provides assurance that the expected controls are active and working as intended.</v>
      </c>
      <c r="H81" s="206" t="str" cm="1">
        <f t="array" ref="H81">_xlfn.TEXTJOIN(CHAR(10),0,_xlfn._xlws.FILTER(source!$AQ$15:$AQ$300,source!$AP$15:$AP$300=_xlfn.CONCAT($C81,LEFT(H$15,1),"Y"),""))</f>
        <v>* Documented process for reviewing the certificate management process and systems
* Ability to implement updates to certificate management system
* Document management system and validation of review</v>
      </c>
      <c r="I81" s="207" t="s">
        <v>49</v>
      </c>
      <c r="J81" s="653"/>
      <c r="K81" s="654"/>
      <c r="L81" s="654"/>
      <c r="M81" s="752"/>
      <c r="N81">
        <f>IF(I81="",0,VLOOKUP(I81,tech!$A$13:$B$17,2,0))*E81</f>
        <v>12</v>
      </c>
      <c r="O81" t="str">
        <f>IF(D81="","",IF(B81=0,tech!$B$9,IF(AND(B81=1,N81=0),tech!$B$21,I81)))</f>
        <v>Advanced</v>
      </c>
    </row>
    <row r="82" spans="2:15" ht="135" customHeight="1" thickBot="1" x14ac:dyDescent="0.3">
      <c r="B82">
        <f>IF(B$73=0,0,IF(F82=tech!$B$9,0,1))</f>
        <v>1</v>
      </c>
      <c r="C82" s="54" t="s">
        <v>285</v>
      </c>
      <c r="D82" s="45" t="str">
        <f>IFERROR(VLOOKUP(C82,source!$AN$4:$AP$13,3,0),"")</f>
        <v>Organizational PKI governance</v>
      </c>
      <c r="E82" s="46">
        <f>IFERROR(VLOOKUP(C82,source!$AN$4:$AP$13,2,0),0)*B82</f>
        <v>2</v>
      </c>
      <c r="F82" s="13" t="str">
        <f>IF(Scoping!K46=tech!$A$5,tech!$B$9,"")</f>
        <v/>
      </c>
      <c r="G82" s="13" t="str" cm="1">
        <f t="array" ref="G82">_xlfn.TEXTJOIN(CHAR(10),0,_xlfn._xlws.FILTER(source!$AQ$15:$AQ$300,source!$AP$15:$AP$300=_xlfn.CONCAT($C82,LEFT(G$15,1),"Y"),""))</f>
        <v>Large organizations commonly have several PKI systems spread out in the organization. Some can be consolidated, but in many cases different PKI silos exists for good reasons. Having a central governance of PKIs across the organization will help to maintain best practices, ensure secure PKI operations, re-use PKI knowledge in the organization, ensure consistent profiles and avoid unnecessary duplication of effort.</v>
      </c>
      <c r="H82" s="36" t="str" cm="1">
        <f t="array" ref="H82">_xlfn.TEXTJOIN(CHAR(10),0,_xlfn._xlws.FILTER(source!$AQ$15:$AQ$300,source!$AP$15:$AP$300=_xlfn.CONCAT($C82,LEFT(H$15,1),"Y"),""))</f>
        <v>* Documented PKIs used in the organization
  * Different PKI technologies used
  * Installed PKI instances
* Documented PKI best practices
  * Installation procedures to avoid re-learning the same issues in different parts of the organization
  * Configuration to ensure consistent and interoperable certificates where applicable
  * Security to maintain a security base line across the whole organization</v>
      </c>
      <c r="I82" s="195" t="s">
        <v>48</v>
      </c>
      <c r="J82" s="657"/>
      <c r="K82" s="640"/>
      <c r="L82" s="640"/>
      <c r="M82" s="751"/>
      <c r="N82">
        <f>IF(I82="",0,VLOOKUP(I82,tech!$A$13:$B$17,2,0))*E82</f>
        <v>4</v>
      </c>
      <c r="O82" t="str">
        <f>IF(D82="","",IF(B82=0,tech!$B$9,IF(AND(B82=1,N82=0),tech!$B$21,I82)))</f>
        <v>Basic</v>
      </c>
    </row>
    <row r="83" spans="2:15" ht="15.75" thickBot="1" x14ac:dyDescent="0.3"/>
    <row r="84" spans="2:15" ht="15" customHeight="1" x14ac:dyDescent="0.25">
      <c r="C84" s="810" t="str">
        <f>tech!A123</f>
        <v>2.3. Infrastructure Management</v>
      </c>
      <c r="D84" s="795"/>
      <c r="E84" s="185" t="s">
        <v>1</v>
      </c>
      <c r="F84" s="795" t="str">
        <f>IF(B85=0,tech!$A$9,"")</f>
        <v/>
      </c>
      <c r="G84" s="795"/>
      <c r="H84" s="795"/>
      <c r="I84" s="795"/>
      <c r="J84" s="795"/>
      <c r="K84" s="795"/>
      <c r="L84" s="795"/>
      <c r="M84" s="796"/>
    </row>
    <row r="85" spans="2:15" ht="15" customHeight="1" x14ac:dyDescent="0.25">
      <c r="B85">
        <f>IF(Scoping!F47=tech!$A$5,0,1)</f>
        <v>1</v>
      </c>
      <c r="C85" s="811"/>
      <c r="D85" s="797"/>
      <c r="E85" s="137">
        <f>VLOOKUP(C84,tech!$A$117:$B$131,2,0)*B85</f>
        <v>2</v>
      </c>
      <c r="F85" s="797"/>
      <c r="G85" s="797"/>
      <c r="H85" s="797"/>
      <c r="I85" s="797"/>
      <c r="J85" s="797"/>
      <c r="K85" s="797"/>
      <c r="L85" s="797"/>
      <c r="M85" s="798"/>
      <c r="N85">
        <f>IF(SUM(B88:B93)=0,0,TRUNC(SUM(N88:N93)/SUM(E88:E93),0))</f>
        <v>3</v>
      </c>
    </row>
    <row r="86" spans="2:15" ht="15.75" thickBot="1" x14ac:dyDescent="0.3">
      <c r="C86" s="792"/>
      <c r="D86" s="793"/>
      <c r="E86" s="793"/>
      <c r="F86" s="793"/>
      <c r="G86" s="793"/>
      <c r="H86" s="793"/>
      <c r="I86" s="793"/>
      <c r="J86" s="793"/>
      <c r="K86" s="793"/>
      <c r="L86" s="793"/>
      <c r="M86" s="794"/>
    </row>
    <row r="87" spans="2:15" ht="15.75" thickBot="1" x14ac:dyDescent="0.3">
      <c r="C87" s="47" t="s">
        <v>10</v>
      </c>
      <c r="D87" s="48" t="s">
        <v>9</v>
      </c>
      <c r="E87" s="49" t="s">
        <v>1</v>
      </c>
      <c r="F87" s="50" t="s">
        <v>55</v>
      </c>
      <c r="G87" s="50" t="s">
        <v>7</v>
      </c>
      <c r="H87" s="51" t="s">
        <v>8</v>
      </c>
      <c r="I87" s="192" t="s">
        <v>141</v>
      </c>
      <c r="J87" s="765" t="s">
        <v>11</v>
      </c>
      <c r="K87" s="766"/>
      <c r="L87" s="766" t="s">
        <v>151</v>
      </c>
      <c r="M87" s="767"/>
    </row>
    <row r="88" spans="2:15" ht="225" customHeight="1" x14ac:dyDescent="0.25">
      <c r="B88">
        <f>IF(B$85=0,0,IF(F88=tech!$B$9,0,1))</f>
        <v>1</v>
      </c>
      <c r="C88" s="52" t="s">
        <v>86</v>
      </c>
      <c r="D88" s="41" t="str">
        <f>IFERROR(VLOOKUP(C88,source!$AT$4:$AV$13,3,0),"")</f>
        <v>Network and deployment infrastructure is documented</v>
      </c>
      <c r="E88" s="42">
        <f>IFERROR(VLOOKUP(C88,source!$AT$4:$AV$13,2,0),0)*B88</f>
        <v>4</v>
      </c>
      <c r="F88" s="11" t="str">
        <f>IF(Scoping!K52=tech!$A$5,tech!$B$9,"")</f>
        <v/>
      </c>
      <c r="G88" s="22" t="str" cm="1">
        <f t="array" ref="G88">_xlfn.TEXTJOIN(CHAR(10),0,_xlfn._xlws.FILTER(source!$AW$15:$AW$300,source!$AV$15:$AV$300=_xlfn.CONCAT($C88,LEFT(G$15,1),"Y"),""))</f>
        <v>The network and deployment documentation of the infrastructure should be aligned with the architecture and design of the PKI. In other terms, it provides details about how the implementation is done in the real environment.
The network and deployment infrastructure should be properly documented and maintained. The documentation should include the following:
• PKI components and their dependencies
• Facilities and equipment
• Deployment infrastructure description
• Clustering and load balancing
• network topology and diagram
• Communication and open ports requirements
• Supporting cloud providers and services
• Supporting systems and services (identity management, access control, logging, monitoring, etc.)</v>
      </c>
      <c r="H88" s="34" t="str" cm="1">
        <f t="array" ref="H88">_xlfn.TEXTJOIN(CHAR(10),0,_xlfn._xlws.FILTER(source!$AW$15:$AW$300,source!$AV$15:$AV$300=_xlfn.CONCAT($C88,LEFT(H$15,1),"Y"),""))</f>
        <v>The following is sample evidence that can be used to assess the requirement:
• network topology and diagram
• Deployment documentation
• Sample configuration of network to compare with the documentation
• Integration with Supporting and other systems
• Interview with the network administrators</v>
      </c>
      <c r="I88" s="193" t="s">
        <v>50</v>
      </c>
      <c r="J88" s="663"/>
      <c r="K88" s="664"/>
      <c r="L88" s="664"/>
      <c r="M88" s="753"/>
      <c r="N88">
        <f>IF(I88="",0,VLOOKUP(I88,tech!$A$13:$B$17,2,0))*E88</f>
        <v>16</v>
      </c>
      <c r="O88" t="str">
        <f>IF(D88="","",IF(B88=0,tech!$B$9,IF(AND(B88=1,N88=0),tech!$B$21,I88)))</f>
        <v>Managed</v>
      </c>
    </row>
    <row r="89" spans="2:15" ht="315" customHeight="1" x14ac:dyDescent="0.25">
      <c r="B89">
        <f>IF(B$85=0,0,IF(F89=tech!$B$9,0,1))</f>
        <v>1</v>
      </c>
      <c r="C89" s="53" t="s">
        <v>87</v>
      </c>
      <c r="D89" s="43" t="str">
        <f>IFERROR(VLOOKUP(C89,source!$AT$4:$AV$13,3,0),"")</f>
        <v>Separation and segmentation principles are applied</v>
      </c>
      <c r="E89" s="44">
        <f>IFERROR(VLOOKUP(C89,source!$AT$4:$AV$13,2,0),0)*B89</f>
        <v>3</v>
      </c>
      <c r="F89" s="12" t="str">
        <f>IF(Scoping!K48=tech!$A$5,tech!$B$9,"")</f>
        <v/>
      </c>
      <c r="G89" s="12" t="str" cm="1">
        <f t="array" ref="G89">_xlfn.TEXTJOIN(CHAR(10),0,_xlfn._xlws.FILTER(source!$AW$15:$AW$300,source!$AV$15:$AV$300=_xlfn.CONCAT($C89,LEFT(G$15,1),"Y"),""))</f>
        <v>The PKI environment should be properly separated and segmented from other environments and systems. The separation and segmentation should be applied on all levels, including network, infrastructure, and application. The separation and segmentation should be applied based on the security requirements and risk assessment.
Segmentation isolates the PKI environment from the remaining environment and reduces the risk of unauthorized access and data leakage. It also helps to reduce the impact of a potential compromise of the PKI environment from other systems and environments. Segmentation can be achieved using a number of physical or logical methods, such as:
• Properly configured internal network Security controls
• Routers with strong access control lists
• other technologies that restrict access to a particular segment of a network
For the proper maintenance of the infrastructure and deployed PKI components, the staging/testing environment should be available in the same configuration as the production environment. If needed, development environments can be used for testing and development purposes.
Production, staging, and development environments should be logically separated and isolated from each other, including the data that is used in the environments.</v>
      </c>
      <c r="H89" s="35" t="str" cm="1">
        <f t="array" ref="H89">_xlfn.TEXTJOIN(CHAR(10),0,_xlfn._xlws.FILTER(source!$AW$15:$AW$300,source!$AV$15:$AV$300=_xlfn.CONCAT($C89,LEFT(H$15,1),"Y"),""))</f>
        <v>The following is sample evidence that can be used to assess the requirement:
• network topology and diagram
• implementation of network isolation
• Separation of production and testing environments
• Sample data
• Interview with the network administrators</v>
      </c>
      <c r="I89" s="194" t="s">
        <v>48</v>
      </c>
      <c r="J89" s="653"/>
      <c r="K89" s="654"/>
      <c r="L89" s="654"/>
      <c r="M89" s="752"/>
      <c r="N89">
        <f>IF(I89="",0,VLOOKUP(I89,tech!$A$13:$B$17,2,0))*E89</f>
        <v>6</v>
      </c>
      <c r="O89" t="str">
        <f>IF(D89="","",IF(B89=0,tech!$B$9,IF(AND(B89=1,N89=0),tech!$B$21,I89)))</f>
        <v>Basic</v>
      </c>
    </row>
    <row r="90" spans="2:15" ht="180" x14ac:dyDescent="0.25">
      <c r="B90">
        <f>IF(B$85=0,0,IF(F90=tech!$B$9,0,1))</f>
        <v>1</v>
      </c>
      <c r="C90" s="53" t="s">
        <v>88</v>
      </c>
      <c r="D90" s="43" t="str">
        <f>IFERROR(VLOOKUP(C90,source!$AT$4:$AV$13,3,0),"")</f>
        <v>Network vulnerability management is implemented and maintained</v>
      </c>
      <c r="E90" s="44">
        <f>IFERROR(VLOOKUP(C90,source!$AT$4:$AV$13,2,0),0)*B90</f>
        <v>3</v>
      </c>
      <c r="F90" s="12" t="str">
        <f>IF(Scoping!K49=tech!$A$5,tech!$B$9,"")</f>
        <v/>
      </c>
      <c r="G90" s="12" t="str" cm="1">
        <f t="array" ref="G90">_xlfn.TEXTJOIN(CHAR(10),0,_xlfn._xlws.FILTER(source!$AW$15:$AW$300,source!$AV$15:$AV$300=_xlfn.CONCAT($C90,LEFT(G$15,1),"Y"),""))</f>
        <v>The network vulnerability management is a process that is used to identify, classify, remediate, and mitigate vulnerabilities in the network infrastructure and protects PKI implementation from potential attacks. The process should be implemented and maintained in order to ensure that the network infrastructure is properly secured and protected from potential attacks.
The network vulnerability management should include the following:
• Included in the overall vulnerability management process
• Periodical scanning of the network infrastructure
• Identification of vulnerabilities
• Categorization and prioritization of vulnerabilities and remediation
• Updating and patching requirements</v>
      </c>
      <c r="H90" s="35" t="str" cm="1">
        <f t="array" ref="H90">_xlfn.TEXTJOIN(CHAR(10),0,_xlfn._xlws.FILTER(source!$AW$15:$AW$300,source!$AV$15:$AV$300=_xlfn.CONCAT($C90,LEFT(H$15,1),"Y"),""))</f>
        <v>The following is sample evidence that can be used to assess the requirement:
• network vulnerability management process
• Results from last network vulnerability scan
• remediation plan
• Interview with the network administrators</v>
      </c>
      <c r="I90" s="194" t="s">
        <v>49</v>
      </c>
      <c r="J90" s="653"/>
      <c r="K90" s="654"/>
      <c r="L90" s="654"/>
      <c r="M90" s="752"/>
      <c r="N90">
        <f>IF(I90="",0,VLOOKUP(I90,tech!$A$13:$B$17,2,0))*E90</f>
        <v>9</v>
      </c>
      <c r="O90" t="str">
        <f>IF(D90="","",IF(B90=0,tech!$B$9,IF(AND(B90=1,N90=0),tech!$B$21,I90)))</f>
        <v>Advanced</v>
      </c>
    </row>
    <row r="91" spans="2:15" ht="135" x14ac:dyDescent="0.25">
      <c r="B91">
        <f>IF(B$85=0,0,IF(F91=tech!$B$9,0,1))</f>
        <v>1</v>
      </c>
      <c r="C91" s="53" t="s">
        <v>89</v>
      </c>
      <c r="D91" s="43" t="str">
        <f>IFERROR(VLOOKUP(C91,source!$AT$4:$AV$13,3,0),"")</f>
        <v>Infrastructure recovery objectives controls</v>
      </c>
      <c r="E91" s="44">
        <f>IFERROR(VLOOKUP(C91,source!$AT$4:$AV$13,2,0),0)*B91</f>
        <v>1</v>
      </c>
      <c r="F91" s="12" t="str">
        <f>IF(Scoping!K50=tech!$A$5,tech!$B$9,"")</f>
        <v/>
      </c>
      <c r="G91" s="12" t="str" cm="1">
        <f t="array" ref="G91">_xlfn.TEXTJOIN(CHAR(10),0,_xlfn._xlws.FILTER(source!$AW$15:$AW$300,source!$AV$15:$AV$300=_xlfn.CONCAT($C91,LEFT(G$15,1),"Y"),""))</f>
        <v>In case of issues with the infrastructure, it should be possible to quickly identify the root cause and recover the infrastructure to the operational state. The recovery objectives should be defined and aligned with the overall business continuity and disaster recovery strategy of the organization.
The infrastructure should be frequently backed up and the backups should be stored in a secure location. The backups should be tested and validated on a regular basis. Infrastructure managed as code may help to reduce complexity and increase the speed of recovery.</v>
      </c>
      <c r="H91" s="35" t="str" cm="1">
        <f t="array" ref="H91">_xlfn.TEXTJOIN(CHAR(10),0,_xlfn._xlws.FILTER(source!$AW$15:$AW$300,source!$AV$15:$AV$300=_xlfn.CONCAT($C91,LEFT(H$15,1),"Y"),""))</f>
        <v>The following is sample evidence that can be used to assess the requirement:
• infrastructure recovery objectives
• Backup and recovery plan
• infrastructure configuration as a code
• Interview with the infrastructure administrators</v>
      </c>
      <c r="I91" s="194" t="s">
        <v>48</v>
      </c>
      <c r="J91" s="653"/>
      <c r="K91" s="654"/>
      <c r="L91" s="654"/>
      <c r="M91" s="752"/>
      <c r="N91">
        <f>IF(I91="",0,VLOOKUP(I91,tech!$A$13:$B$17,2,0))*E91</f>
        <v>2</v>
      </c>
      <c r="O91" t="str">
        <f>IF(D91="","",IF(B91=0,tech!$B$9,IF(AND(B91=1,N91=0),tech!$B$21,I91)))</f>
        <v>Basic</v>
      </c>
    </row>
    <row r="92" spans="2:15" ht="255.75" thickBot="1" x14ac:dyDescent="0.3">
      <c r="B92">
        <f>IF(B$85=0,0,IF(F92=tech!$B$9,0,1))</f>
        <v>1</v>
      </c>
      <c r="C92" s="54" t="s">
        <v>90</v>
      </c>
      <c r="D92" s="45" t="str">
        <f>IFERROR(VLOOKUP(C92,source!$AT$4:$AV$13,3,0),"")</f>
        <v>Infrastructure activities are periodically reviewed</v>
      </c>
      <c r="E92" s="46">
        <f>IFERROR(VLOOKUP(C92,source!$AT$4:$AV$13,2,0),0)*B92</f>
        <v>2</v>
      </c>
      <c r="F92" s="13" t="str">
        <f>IF(Scoping!K51=tech!$A$5,tech!$B$9,"")</f>
        <v/>
      </c>
      <c r="G92" s="13" t="str" cm="1">
        <f t="array" ref="G92">_xlfn.TEXTJOIN(CHAR(10),0,_xlfn._xlws.FILTER(source!$AW$15:$AW$300,source!$AV$15:$AV$300=_xlfn.CONCAT($C92,LEFT(G$15,1),"Y"),""))</f>
        <v>Infrastructure management related activities should be periodically reviewed, updated and approved. The frequency of review should be based on the organizational risks and needs to be protected against current and future trends.
Periodical review helps to keep the infrastructure management accurate and helps to maintain required skills and knowledge.
It provides assurance that the expected controls are active and working as intended.
The review can include the following:
• changes made to the infrastructure
• Regular checks of firewall rules
• Review of the network topology
• Review of the network segmentation
• Regular checks of access control lists
• vulnerability reports and timely remediation
• Review and correlation of logs
• and other activities related to the infrastructure management</v>
      </c>
      <c r="H92" s="36" t="str" cm="1">
        <f t="array" ref="H92">_xlfn.TEXTJOIN(CHAR(10),0,_xlfn._xlws.FILTER(source!$AW$15:$AW$300,source!$AV$15:$AV$300=_xlfn.CONCAT($C92,LEFT(H$15,1),"Y"),""))</f>
        <v>The following is sample evidence that can be used to assess the requirement:
• infrastructure management activities Review frequency
• Organizational implementation of Review process
• Validation of documentation, reports, records, and reviews</v>
      </c>
      <c r="I92" s="195" t="s">
        <v>50</v>
      </c>
      <c r="J92" s="657"/>
      <c r="K92" s="640"/>
      <c r="L92" s="640"/>
      <c r="M92" s="751"/>
      <c r="N92">
        <f>IF(I92="",0,VLOOKUP(I92,tech!$A$13:$B$17,2,0))*E92</f>
        <v>8</v>
      </c>
      <c r="O92" t="str">
        <f>IF(D92="","",IF(B92=0,tech!$B$9,IF(AND(B92=1,N92=0),tech!$B$21,I92)))</f>
        <v>Managed</v>
      </c>
    </row>
    <row r="93" spans="2:15" ht="19.5" hidden="1" thickBot="1" x14ac:dyDescent="0.3">
      <c r="B93">
        <f>IF(B$85=0,0,IF(F93=tech!$B$9,0,1))</f>
        <v>1</v>
      </c>
      <c r="C93" s="208" t="s">
        <v>91</v>
      </c>
      <c r="D93" s="209" t="str">
        <f>IFERROR(VLOOKUP(C93,source!$AT$4:$AV$13,3,0),"")</f>
        <v/>
      </c>
      <c r="E93" s="210">
        <f>IFERROR(VLOOKUP(C93,source!$AT$4:$AV$13,2,0),0)*B93</f>
        <v>0</v>
      </c>
      <c r="F93" s="211" t="str">
        <f>IF(Scoping!K52=tech!$A$5,tech!$B$9,"")</f>
        <v/>
      </c>
      <c r="G93" s="211" t="str" cm="1">
        <f t="array" ref="G93">_xlfn.TEXTJOIN(CHAR(10),0,_xlfn._xlws.FILTER(source!$AW$15:$AW$300,source!$AV$15:$AV$300=_xlfn.CONCAT($C93,LEFT(G$15,1),"Y"),""))</f>
        <v/>
      </c>
      <c r="H93" s="212" t="str" cm="1">
        <f t="array" ref="H93">_xlfn.TEXTJOIN(CHAR(10),0,_xlfn._xlws.FILTER(source!$AW$15:$AW$300,source!$AV$15:$AV$300=_xlfn.CONCAT($C93,LEFT(H$15,1),"Y"),""))</f>
        <v/>
      </c>
      <c r="I93" s="213"/>
      <c r="J93" s="762"/>
      <c r="K93" s="763"/>
      <c r="L93" s="763"/>
      <c r="M93" s="764"/>
      <c r="N93">
        <f>IF(I93="",0,VLOOKUP(I93,tech!$A$13:$B$17,2,0))*E93</f>
        <v>0</v>
      </c>
      <c r="O93" t="str">
        <f>IF(D93="","",IF(B93=0,tech!$B$9,IF(AND(B93=1,N93=0),tech!$B$21,I93)))</f>
        <v/>
      </c>
    </row>
    <row r="94" spans="2:15" ht="15.75" thickBot="1" x14ac:dyDescent="0.3"/>
    <row r="95" spans="2:15" ht="15" customHeight="1" x14ac:dyDescent="0.25">
      <c r="C95" s="810" t="str">
        <f>tech!A124</f>
        <v>2.4. Change Management and Agility</v>
      </c>
      <c r="D95" s="795"/>
      <c r="E95" s="185" t="s">
        <v>1</v>
      </c>
      <c r="F95" s="795" t="str">
        <f>IF(B96=0,tech!$A$9,"")</f>
        <v/>
      </c>
      <c r="G95" s="795"/>
      <c r="H95" s="795"/>
      <c r="I95" s="795"/>
      <c r="J95" s="795"/>
      <c r="K95" s="795"/>
      <c r="L95" s="795"/>
      <c r="M95" s="796"/>
    </row>
    <row r="96" spans="2:15" ht="15" customHeight="1" x14ac:dyDescent="0.25">
      <c r="B96">
        <f>IF(Scoping!F53=tech!$A$5,0,1)</f>
        <v>1</v>
      </c>
      <c r="C96" s="811"/>
      <c r="D96" s="797"/>
      <c r="E96" s="137">
        <f>VLOOKUP(C95,tech!$A$117:$B$131,2,0)*B96</f>
        <v>3</v>
      </c>
      <c r="F96" s="797"/>
      <c r="G96" s="797"/>
      <c r="H96" s="797"/>
      <c r="I96" s="797"/>
      <c r="J96" s="797"/>
      <c r="K96" s="797"/>
      <c r="L96" s="797"/>
      <c r="M96" s="798"/>
      <c r="N96">
        <f>IF(SUM(B99:B104)=0,0,TRUNC(SUM(N99:N104)/SUM(E99:E104),0))</f>
        <v>2</v>
      </c>
    </row>
    <row r="97" spans="2:15" ht="15.75" thickBot="1" x14ac:dyDescent="0.3">
      <c r="C97" s="792"/>
      <c r="D97" s="793"/>
      <c r="E97" s="793"/>
      <c r="F97" s="793"/>
      <c r="G97" s="793"/>
      <c r="H97" s="793"/>
      <c r="I97" s="793"/>
      <c r="J97" s="793"/>
      <c r="K97" s="793"/>
      <c r="L97" s="793"/>
      <c r="M97" s="794"/>
    </row>
    <row r="98" spans="2:15" ht="15.75" thickBot="1" x14ac:dyDescent="0.3">
      <c r="C98" s="47" t="s">
        <v>10</v>
      </c>
      <c r="D98" s="48" t="s">
        <v>9</v>
      </c>
      <c r="E98" s="49" t="s">
        <v>1</v>
      </c>
      <c r="F98" s="50" t="s">
        <v>55</v>
      </c>
      <c r="G98" s="50" t="s">
        <v>7</v>
      </c>
      <c r="H98" s="51" t="s">
        <v>8</v>
      </c>
      <c r="I98" s="192" t="s">
        <v>141</v>
      </c>
      <c r="J98" s="765" t="s">
        <v>11</v>
      </c>
      <c r="K98" s="766"/>
      <c r="L98" s="766" t="s">
        <v>151</v>
      </c>
      <c r="M98" s="767"/>
    </row>
    <row r="99" spans="2:15" ht="270" x14ac:dyDescent="0.25">
      <c r="B99">
        <f>IF(B$96=0,0,IF(F99=tech!$B$9,0,1))</f>
        <v>1</v>
      </c>
      <c r="C99" s="52" t="s">
        <v>92</v>
      </c>
      <c r="D99" s="41" t="str">
        <f>IFERROR(VLOOKUP(C99,source!$AZ$4:$BB$13,3,0),"")</f>
        <v>The policy for change management and agility is documented</v>
      </c>
      <c r="E99" s="42">
        <f>IFERROR(VLOOKUP(C99,source!$AZ$4:$BB$13,2,0),0)*B99</f>
        <v>4</v>
      </c>
      <c r="F99" s="11" t="str">
        <f>IF(Scoping!K58=tech!$A$5,tech!$B$9,"")</f>
        <v/>
      </c>
      <c r="G99" s="22" t="str" cm="1">
        <f t="array" ref="G99">_xlfn.TEXTJOIN(CHAR(10),0,_xlfn._xlws.FILTER(source!$BC$15:$BC$300,source!$BB$15:$BB$300=_xlfn.CONCAT($C99,LEFT(G$15,1),"Y"),""))</f>
        <v>The policy for change management and agility should be documented and approved by the management. The policy contains principles and boundaries for the implementation of the change management and agility requirements. Typically, it can be documented on the organizational level and applied to all systems and services, including the PKI implementation.
The PKI may have specific requirements for change management and agility, and therefore it may be recommended to have a separate policy for the PKI implementation. The policy should be aligned with organizational policy and should be approved by the responsible personnel for the PKI.
The policy contains the following information:
• Approach to change management and agility
• Principles and boundaries for change management and agility
• roles and responsibilities
• requirements for change management and agility
• Tools and technologies used for change management
• and other relevant information</v>
      </c>
      <c r="H99" s="34" t="str" cm="1">
        <f t="array" ref="H99">_xlfn.TEXTJOIN(CHAR(10),0,_xlfn._xlws.FILTER(source!$BC$15:$BC$300,source!$BB$15:$BB$300=_xlfn.CONCAT($C99,LEFT(H$15,1),"Y"),""))</f>
        <v>The following is sample evidence that can be used to assess the requirement:
• Documented policy for change management and agility
• Alignment with Organizational policy
• Approval by the management
• Understanding of the policy by the PKI personnel
• and other relevant evidence</v>
      </c>
      <c r="I99" s="193" t="s">
        <v>48</v>
      </c>
      <c r="J99" s="663"/>
      <c r="K99" s="664"/>
      <c r="L99" s="664"/>
      <c r="M99" s="753"/>
      <c r="N99">
        <f>IF(I99="",0,VLOOKUP(I99,tech!$A$13:$B$17,2,0))*E99</f>
        <v>8</v>
      </c>
      <c r="O99" t="str">
        <f>IF(D99="","",IF(B99=0,tech!$B$9,IF(AND(B99=1,N99=0),tech!$B$21,I99)))</f>
        <v>Basic</v>
      </c>
    </row>
    <row r="100" spans="2:15" ht="300" customHeight="1" x14ac:dyDescent="0.25">
      <c r="B100">
        <f>IF(B$96=0,0,IF(F100=tech!$B$9,0,1))</f>
        <v>1</v>
      </c>
      <c r="C100" s="53" t="s">
        <v>93</v>
      </c>
      <c r="D100" s="43" t="str">
        <f>IFERROR(VLOOKUP(C100,source!$AZ$4:$BB$13,3,0),"")</f>
        <v>Request for change structure is documented and followed</v>
      </c>
      <c r="E100" s="44">
        <f>IFERROR(VLOOKUP(C100,source!$AZ$4:$BB$13,2,0),0)*B100</f>
        <v>3</v>
      </c>
      <c r="F100" s="12" t="str">
        <f>IF(Scoping!K54=tech!$A$5,tech!$B$9,"")</f>
        <v/>
      </c>
      <c r="G100" s="12" t="str" cm="1">
        <f t="array" ref="G100">_xlfn.TEXTJOIN(CHAR(10),0,_xlfn._xlws.FILTER(source!$BC$15:$BC$300,source!$BB$15:$BB$300=_xlfn.CONCAT($C100,LEFT(G$15,1),"Y"),""))</f>
        <v>The request for change structure is the basic stone of each change management process. It provides information about a change, its scope, and other relevant data. The request for change structure should be formally documented and followed by all stakeholders involved.
Request for change can contain any change that can affect the PKI implementation, including:
• PKI upgrades, updates, and patches
• New components or functionalities
• changes in the configuration of the PKI
• changes in the algorithms and protocols
Request for change structure should cover the following information:
• description of the change
• Scope of the change
• Category of the change
• Impacted systems and services
• Back-out Procedure in case of failure
• testing requirements
• and other relevant information</v>
      </c>
      <c r="H100" s="35" t="str" cm="1">
        <f t="array" ref="H100">_xlfn.TEXTJOIN(CHAR(10),0,_xlfn._xlws.FILTER(source!$BC$15:$BC$300,source!$BB$15:$BB$300=_xlfn.CONCAT($C100,LEFT(H$15,1),"Y"),""))</f>
        <v>The following is sample evidence that can be used to assess the requirement:
• Documented request for change structure
• Sample of change request
• Review implemented changes and compare with the request for change</v>
      </c>
      <c r="I100" s="194" t="s">
        <v>50</v>
      </c>
      <c r="J100" s="653"/>
      <c r="K100" s="654"/>
      <c r="L100" s="654"/>
      <c r="M100" s="752"/>
      <c r="N100">
        <f>IF(I100="",0,VLOOKUP(I100,tech!$A$13:$B$17,2,0))*E100</f>
        <v>12</v>
      </c>
      <c r="O100" t="str">
        <f>IF(D100="","",IF(B100=0,tech!$B$9,IF(AND(B100=1,N100=0),tech!$B$21,I100)))</f>
        <v>Managed</v>
      </c>
    </row>
    <row r="101" spans="2:15" ht="135" x14ac:dyDescent="0.25">
      <c r="B101">
        <f>IF(B$96=0,0,IF(F101=tech!$B$9,0,1))</f>
        <v>1</v>
      </c>
      <c r="C101" s="53" t="s">
        <v>94</v>
      </c>
      <c r="D101" s="43" t="str">
        <f>IFERROR(VLOOKUP(C101,source!$AZ$4:$BB$13,3,0),"")</f>
        <v>The change management process is documented and implemented</v>
      </c>
      <c r="E101" s="44">
        <f>IFERROR(VLOOKUP(C101,source!$AZ$4:$BB$13,2,0),0)*B101</f>
        <v>4</v>
      </c>
      <c r="F101" s="12" t="str">
        <f>IF(Scoping!K55=tech!$A$5,tech!$B$9,"")</f>
        <v/>
      </c>
      <c r="G101" s="12" t="str" cm="1">
        <f t="array" ref="G101">_xlfn.TEXTJOIN(CHAR(10),0,_xlfn._xlws.FILTER(source!$BC$15:$BC$300,source!$BB$15:$BB$300=_xlfn.CONCAT($C101,LEFT(G$15,1),"Y"),""))</f>
        <v>The change management process is the core of the change management and agile systems. It provides a robust and reliable process to ensure that every change is properly assessed, approved, implemented, and eventually reviewed.
The change management process should be documented, communicated, and integrated into the organization. The process states how a request for change can be submitted and how it is processed, which includes assessment and approval of the change, implementation of the change, functional testing after the change, and review of the change.</v>
      </c>
      <c r="H101" s="35" t="str" cm="1">
        <f t="array" ref="H101">_xlfn.TEXTJOIN(CHAR(10),0,_xlfn._xlws.FILTER(source!$BC$15:$BC$300,source!$BB$15:$BB$300=_xlfn.CONCAT($C101,LEFT(H$15,1),"Y"),""))</f>
        <v>The following is sample evidence that can be used to assess the requirement:
• Documented change management process
• Sample of change request
• Steps involved in the change management process
• Interview with the responsible personnel</v>
      </c>
      <c r="I101" s="194" t="s">
        <v>48</v>
      </c>
      <c r="J101" s="653"/>
      <c r="K101" s="654"/>
      <c r="L101" s="654"/>
      <c r="M101" s="752"/>
      <c r="N101">
        <f>IF(I101="",0,VLOOKUP(I101,tech!$A$13:$B$17,2,0))*E101</f>
        <v>8</v>
      </c>
      <c r="O101" t="str">
        <f>IF(D101="","",IF(B101=0,tech!$B$9,IF(AND(B101=1,N101=0),tech!$B$21,I101)))</f>
        <v>Basic</v>
      </c>
    </row>
    <row r="102" spans="2:15" ht="195" x14ac:dyDescent="0.25">
      <c r="B102">
        <f>IF(B$96=0,0,IF(F102=tech!$B$9,0,1))</f>
        <v>1</v>
      </c>
      <c r="C102" s="53" t="s">
        <v>95</v>
      </c>
      <c r="D102" s="43" t="str">
        <f>IFERROR(VLOOKUP(C102,source!$AZ$4:$BB$13,3,0),"")</f>
        <v>Requirements for agility are identified</v>
      </c>
      <c r="E102" s="44">
        <f>IFERROR(VLOOKUP(C102,source!$AZ$4:$BB$13,2,0),0)*B102</f>
        <v>2</v>
      </c>
      <c r="F102" s="12" t="str">
        <f>IF(Scoping!K56=tech!$A$5,tech!$B$9,"")</f>
        <v/>
      </c>
      <c r="G102" s="12" t="str" cm="1">
        <f t="array" ref="G102">_xlfn.TEXTJOIN(CHAR(10),0,_xlfn._xlws.FILTER(source!$BC$15:$BC$300,source!$BB$15:$BB$300=_xlfn.CONCAT($C102,LEFT(G$15,1),"Y"),""))</f>
        <v>Agility provides the ability to adapt to changes quickly and efficiently. Agility and change management are closely related and should be considered together. The future-proof PKI implementation should be able to identify the requirements for agility and implement them in a timely manner.
Agility can be considered on operational and technical levels. Operational agility means that the PKI is able to adapt to changes in the operational environment, including any changes to the organizational structure, processes, and other operational aspects. Technical agility means that the PKI is able to adapt to changes in the technologies, algorithms, protocols, and other technical aspects.
Identification of requirements where agility is needed is important to ensure changes are implemented when needed.</v>
      </c>
      <c r="H102" s="35" t="str" cm="1">
        <f t="array" ref="H102">_xlfn.TEXTJOIN(CHAR(10),0,_xlfn._xlws.FILTER(source!$BC$15:$BC$300,source!$BB$15:$BB$300=_xlfn.CONCAT($C102,LEFT(H$15,1),"Y"),""))</f>
        <v>The following is sample evidence that can be used to assess the requirement:
• agility requirements of the PKI implementation
• configuration changes
• changes in the operational environment
• changes in the technologies
• and other relevant evidence</v>
      </c>
      <c r="I102" s="194" t="s">
        <v>49</v>
      </c>
      <c r="J102" s="653"/>
      <c r="K102" s="654"/>
      <c r="L102" s="654"/>
      <c r="M102" s="752"/>
      <c r="N102">
        <f>IF(I102="",0,VLOOKUP(I102,tech!$A$13:$B$17,2,0))*E102</f>
        <v>6</v>
      </c>
      <c r="O102" t="str">
        <f>IF(D102="","",IF(B102=0,tech!$B$9,IF(AND(B102=1,N102=0),tech!$B$21,I102)))</f>
        <v>Advanced</v>
      </c>
    </row>
    <row r="103" spans="2:15" ht="75" customHeight="1" thickBot="1" x14ac:dyDescent="0.3">
      <c r="B103">
        <f>IF(B$96=0,0,IF(F103=tech!$B$9,0,1))</f>
        <v>1</v>
      </c>
      <c r="C103" s="54" t="s">
        <v>96</v>
      </c>
      <c r="D103" s="45" t="str">
        <f>IFERROR(VLOOKUP(C103,source!$AZ$4:$BB$13,3,0),"")</f>
        <v>Change management and agility is periodically reviewed</v>
      </c>
      <c r="E103" s="46">
        <f>IFERROR(VLOOKUP(C103,source!$AZ$4:$BB$13,2,0),0)*B103</f>
        <v>2</v>
      </c>
      <c r="F103" s="13" t="str">
        <f>IF(Scoping!K57=tech!$A$5,tech!$B$9,"")</f>
        <v/>
      </c>
      <c r="G103" s="13" t="str" cm="1">
        <f t="array" ref="G103">_xlfn.TEXTJOIN(CHAR(10),0,_xlfn._xlws.FILTER(source!$BC$15:$BC$300,source!$BB$15:$BB$300=_xlfn.CONCAT($C103,LEFT(G$15,1),"Y"),""))</f>
        <v>The change management and agility requirements should be periodically reviewed to ensure that they are still valid and relevant. The review should be performed by the responsible personnel and should be documented. A good practice is to review the change management and agility requirements at least once a year, however, the frequency of the review can be different depending on the PKI implementation.</v>
      </c>
      <c r="H103" s="36" t="str" cm="1">
        <f t="array" ref="H103">_xlfn.TEXTJOIN(CHAR(10),0,_xlfn._xlws.FILTER(source!$BC$15:$BC$300,source!$BB$15:$BB$300=_xlfn.CONCAT($C103,LEFT(H$15,1),"Y"),""))</f>
        <v>• change management Review frequency
• implementation of Review process and documentation
• Interview with the responsible personnel</v>
      </c>
      <c r="I103" s="195" t="s">
        <v>49</v>
      </c>
      <c r="J103" s="657"/>
      <c r="K103" s="640"/>
      <c r="L103" s="640"/>
      <c r="M103" s="751"/>
      <c r="N103">
        <f>IF(I103="",0,VLOOKUP(I103,tech!$A$13:$B$17,2,0))*E103</f>
        <v>6</v>
      </c>
      <c r="O103" t="str">
        <f>IF(D103="","",IF(B103=0,tech!$B$9,IF(AND(B103=1,N103=0),tech!$B$21,I103)))</f>
        <v>Advanced</v>
      </c>
    </row>
    <row r="104" spans="2:15" ht="19.5" hidden="1" thickBot="1" x14ac:dyDescent="0.3">
      <c r="B104">
        <f>IF(B$96=0,0,IF(F104=tech!$B$9,0,1))</f>
        <v>1</v>
      </c>
      <c r="C104" s="208" t="s">
        <v>97</v>
      </c>
      <c r="D104" s="209" t="str">
        <f>IFERROR(VLOOKUP(C104,source!$AZ$4:$BB$13,3,0),"")</f>
        <v/>
      </c>
      <c r="E104" s="210">
        <f>IFERROR(VLOOKUP(C104,source!$AZ$4:$BB$13,2,0),0)*B104</f>
        <v>0</v>
      </c>
      <c r="F104" s="211" t="str">
        <f>IF(Scoping!K58=tech!$A$5,tech!$B$9,"")</f>
        <v/>
      </c>
      <c r="G104" s="211" t="str" cm="1">
        <f t="array" ref="G104">_xlfn.TEXTJOIN(CHAR(10),0,_xlfn._xlws.FILTER(source!$BC$15:$BC$300,source!$BB$15:$BB$300=_xlfn.CONCAT($C104,LEFT(G$15,1),"Y"),""))</f>
        <v/>
      </c>
      <c r="H104" s="212" t="str" cm="1">
        <f t="array" ref="H104">_xlfn.TEXTJOIN(CHAR(10),0,_xlfn._xlws.FILTER(source!$BC$15:$BC$300,source!$BB$15:$BB$300=_xlfn.CONCAT($C104,LEFT(H$15,1),"Y"),""))</f>
        <v/>
      </c>
      <c r="I104" s="213"/>
      <c r="J104" s="762"/>
      <c r="K104" s="763"/>
      <c r="L104" s="763"/>
      <c r="M104" s="764"/>
      <c r="N104">
        <f>IF(I104="",0,VLOOKUP(I104,tech!$A$13:$B$17,2,0))*E104</f>
        <v>0</v>
      </c>
      <c r="O104" t="str">
        <f>IF(D104="","",IF(B104=0,tech!$B$9,IF(AND(B104=1,N104=0),tech!$B$21,I104)))</f>
        <v/>
      </c>
    </row>
    <row r="106" spans="2:15" ht="15.75" thickBot="1" x14ac:dyDescent="0.3"/>
    <row r="107" spans="2:15" ht="15" customHeight="1" x14ac:dyDescent="0.25">
      <c r="C107" s="868" t="s">
        <v>29</v>
      </c>
      <c r="D107" s="804"/>
      <c r="E107" s="804"/>
      <c r="F107" s="804" t="str">
        <f>IF(AND(B112=0,B123=0,B134=0,B145=0),tech!$A$9,"")</f>
        <v/>
      </c>
      <c r="G107" s="804"/>
      <c r="H107" s="804"/>
      <c r="I107" s="804"/>
      <c r="J107" s="804"/>
      <c r="K107" s="804"/>
      <c r="L107" s="804"/>
      <c r="M107" s="805"/>
    </row>
    <row r="108" spans="2:15" ht="15" customHeight="1" x14ac:dyDescent="0.25">
      <c r="C108" s="869"/>
      <c r="D108" s="806"/>
      <c r="E108" s="806"/>
      <c r="F108" s="806"/>
      <c r="G108" s="806"/>
      <c r="H108" s="806"/>
      <c r="I108" s="806"/>
      <c r="J108" s="806"/>
      <c r="K108" s="806"/>
      <c r="L108" s="806"/>
      <c r="M108" s="807"/>
      <c r="N108">
        <f>IF(SUM(E112,E123,E134,E145)=0,0,TRUNC((IF(B112=0,0,SUM(N115:N120)/SUM(E115:E120)*E112)+IF(B123=0,0,SUM(N126:N131)/SUM(E126:E131)*E123)+IF(B134=0,0,SUM(N137:N142)/SUM(E137:E142)*E134)+IF(B145=0,0,SUM(N148:N153)/SUM(E148:E153)*E145))/SUM(E112,E123,E134,E145),0))</f>
        <v>3</v>
      </c>
    </row>
    <row r="109" spans="2:15" ht="15.75" customHeight="1" thickBot="1" x14ac:dyDescent="0.3">
      <c r="C109" s="870"/>
      <c r="D109" s="808"/>
      <c r="E109" s="808"/>
      <c r="F109" s="808"/>
      <c r="G109" s="808"/>
      <c r="H109" s="808"/>
      <c r="I109" s="808"/>
      <c r="J109" s="808"/>
      <c r="K109" s="808"/>
      <c r="L109" s="808"/>
      <c r="M109" s="809"/>
      <c r="N109">
        <f>IF(SUM(E112,E123,E134,E145)=0,0,(IF(B112=0,0,SUM(N115:N120)/SUM(E115:E120)*E112)+IF(B123=0,0,SUM(N126:N131)/SUM(E126:E131)*E123)+IF(B134=0,0,SUM(N137:N142)/SUM(E137:E142)*E134)+IF(B145=0,0,SUM(N148:N153)/SUM(E148:E153)*E145))/SUM(E112,E123,E134,E145))</f>
        <v>3.1897142857142855</v>
      </c>
    </row>
    <row r="110" spans="2:15" ht="15.75" thickBot="1" x14ac:dyDescent="0.3"/>
    <row r="111" spans="2:15" ht="15" customHeight="1" x14ac:dyDescent="0.25">
      <c r="C111" s="788" t="str">
        <f>tech!A125</f>
        <v>3.1. Resilience</v>
      </c>
      <c r="D111" s="789"/>
      <c r="E111" s="186" t="s">
        <v>1</v>
      </c>
      <c r="F111" s="789" t="str">
        <f>IF(B112=0,tech!$A$9,"")</f>
        <v/>
      </c>
      <c r="G111" s="789"/>
      <c r="H111" s="789"/>
      <c r="I111" s="789"/>
      <c r="J111" s="789"/>
      <c r="K111" s="789"/>
      <c r="L111" s="789"/>
      <c r="M111" s="802"/>
    </row>
    <row r="112" spans="2:15" ht="15" customHeight="1" x14ac:dyDescent="0.25">
      <c r="B112">
        <f>IF(Scoping!F59=tech!$A$5,0,1)</f>
        <v>1</v>
      </c>
      <c r="C112" s="790"/>
      <c r="D112" s="791"/>
      <c r="E112" s="138">
        <f>VLOOKUP(C111,tech!$A$117:$B$131,2,0)*B112</f>
        <v>4</v>
      </c>
      <c r="F112" s="791"/>
      <c r="G112" s="791"/>
      <c r="H112" s="791"/>
      <c r="I112" s="791"/>
      <c r="J112" s="791"/>
      <c r="K112" s="791"/>
      <c r="L112" s="791"/>
      <c r="M112" s="803"/>
      <c r="N112">
        <f>IF(SUM(B115:B120)=0,0,TRUNC(SUM(N115:N120)/SUM(E115:E120),0))</f>
        <v>3</v>
      </c>
    </row>
    <row r="113" spans="2:15" ht="45" customHeight="1" thickBot="1" x14ac:dyDescent="0.3">
      <c r="C113" s="799" t="s">
        <v>12</v>
      </c>
      <c r="D113" s="800"/>
      <c r="E113" s="800"/>
      <c r="F113" s="800"/>
      <c r="G113" s="800"/>
      <c r="H113" s="800"/>
      <c r="I113" s="800"/>
      <c r="J113" s="800"/>
      <c r="K113" s="800"/>
      <c r="L113" s="800"/>
      <c r="M113" s="801"/>
    </row>
    <row r="114" spans="2:15" ht="15.75" thickBot="1" x14ac:dyDescent="0.3">
      <c r="C114" s="26" t="s">
        <v>10</v>
      </c>
      <c r="D114" s="27" t="s">
        <v>9</v>
      </c>
      <c r="E114" s="28" t="s">
        <v>1</v>
      </c>
      <c r="F114" s="29" t="s">
        <v>55</v>
      </c>
      <c r="G114" s="29" t="s">
        <v>7</v>
      </c>
      <c r="H114" s="33" t="s">
        <v>8</v>
      </c>
      <c r="I114" s="196" t="s">
        <v>141</v>
      </c>
      <c r="J114" s="759" t="s">
        <v>11</v>
      </c>
      <c r="K114" s="760"/>
      <c r="L114" s="760" t="s">
        <v>151</v>
      </c>
      <c r="M114" s="761"/>
    </row>
    <row r="115" spans="2:15" ht="135" customHeight="1" x14ac:dyDescent="0.25">
      <c r="B115">
        <f>IF(B$112=0,0,IF(F115=tech!$B$9,0,1))</f>
        <v>1</v>
      </c>
      <c r="C115" s="25" t="s">
        <v>98</v>
      </c>
      <c r="D115" s="37" t="str">
        <f>IFERROR(VLOOKUP(C115,source!$BF$4:$BH$13,3,0),"")</f>
        <v>Risk assessment and business impact analysis</v>
      </c>
      <c r="E115" s="30">
        <f>IFERROR(VLOOKUP(C115,source!$BF$4:$BH$13,2,0),0)*B115</f>
        <v>6</v>
      </c>
      <c r="F115" s="11" t="str">
        <f>IF(Scoping!K69=tech!$A$5,tech!$B$9,"")</f>
        <v/>
      </c>
      <c r="G115" s="22" t="str" cm="1">
        <f t="array" ref="G115">_xlfn.TEXTJOIN(CHAR(10),0,_xlfn._xlws.FILTER(source!$BI$15:$BI$300,source!$BH$15:$BH$300=_xlfn.CONCAT($C115,LEFT(G$15,1),"Y"),""))</f>
        <v>Proper risk assessment provides robust understanding about the risks and their impact on the business and organization PKI. The risk assessment results (for example potential loss scenarios) are documented and serves as input for the business impact analysis to identify the critical PKI-related business processes and their dependencies.
Documented results of the business impact analysis are used to develop recovery strategies for the PKI implementation with required resources and availability.</v>
      </c>
      <c r="H115" s="22" t="str" cm="1">
        <f t="array" ref="H115">_xlfn.TEXTJOIN(CHAR(10),0,_xlfn._xlws.FILTER(source!$BI$15:$BI$300,source!$BH$15:$BH$300=_xlfn.CONCAT($C115,LEFT(H$15,1),"Y"),""))</f>
        <v>The following is sample evidence that can be used to assess the requirement:
• Risk management and assessment process
• Documented Risk assessment Results
• Documented business impact analysis Results
• Documented recovery strategies
• Understanding of the resilience and Approval of the Results
• Interview with the PKI management</v>
      </c>
      <c r="I115" s="197" t="s">
        <v>51</v>
      </c>
      <c r="J115" s="663"/>
      <c r="K115" s="664"/>
      <c r="L115" s="664"/>
      <c r="M115" s="753"/>
      <c r="N115">
        <f>IF(I115="",0,VLOOKUP(I115,tech!$A$13:$B$17,2,0))*E115</f>
        <v>30</v>
      </c>
      <c r="O115" t="str">
        <f>IF(D115="","",IF(B115=0,tech!$B$9,IF(AND(B115=1,N115=0),tech!$B$21,I115)))</f>
        <v>Optimized</v>
      </c>
    </row>
    <row r="116" spans="2:15" ht="210" x14ac:dyDescent="0.25">
      <c r="B116">
        <f>IF(B$112=0,0,IF(F116=tech!$B$9,0,1))</f>
        <v>1</v>
      </c>
      <c r="C116" s="23" t="s">
        <v>99</v>
      </c>
      <c r="D116" s="38" t="str">
        <f>IFERROR(VLOOKUP(C116,source!$BF$4:$BH$13,3,0),"")</f>
        <v>Cyber-security management and incident planning</v>
      </c>
      <c r="E116" s="31">
        <f>IFERROR(VLOOKUP(C116,source!$BF$4:$BH$13,2,0),0)*B116</f>
        <v>4</v>
      </c>
      <c r="F116" s="12" t="str">
        <f>IF(Scoping!K70=tech!$A$5,tech!$B$9,"")</f>
        <v/>
      </c>
      <c r="G116" s="12" t="str" cm="1">
        <f t="array" ref="G116">_xlfn.TEXTJOIN(CHAR(10),0,_xlfn._xlws.FILTER(source!$BI$15:$BI$300,source!$BH$15:$BH$300=_xlfn.CONCAT($C116,LEFT(G$15,1),"Y"),""))</f>
        <v>Cyber-security management covers activities to ensure that the PKI is protected against known and zero-day vulnerabilities, cyberattacks and other threats. The operational procedures and technologies are evolving and the PKI needs to be able to adapt to the changes. Without knowing the threats and vulnerabilities, it is not possible to plan for the resilience and properly plan for incident response.
Incident response planning helps to ensure that the organization is able to respond to the suspected incidents. Incident response plans should be documented and tested regularly. The result of executed incident response plans should be documented and used to improve the plan, even if it was a false alarm.
Cyber-security management and incident planning covers important aspects such as vulnerability management and security operations center (SOC) identification and response to potential incidents.</v>
      </c>
      <c r="H116" s="35" t="str" cm="1">
        <f t="array" ref="H116">_xlfn.TEXTJOIN(CHAR(10),0,_xlfn._xlws.FILTER(source!$BI$15:$BI$300,source!$BH$15:$BH$300=_xlfn.CONCAT($C116,LEFT(H$15,1),"Y"),""))</f>
        <v>The following is sample evidence that can be used to assess the requirement:
• Documented vulnerability management
• vulnerability scanning Results
• Documented incident response plans
• Documented incident response test Results
• Monitoring of cyber-Security threats
• Interview with the Security operations team</v>
      </c>
      <c r="I116" s="198" t="s">
        <v>49</v>
      </c>
      <c r="J116" s="653"/>
      <c r="K116" s="654"/>
      <c r="L116" s="654"/>
      <c r="M116" s="752"/>
      <c r="N116">
        <f>IF(I116="",0,VLOOKUP(I116,tech!$A$13:$B$17,2,0))*E116</f>
        <v>12</v>
      </c>
      <c r="O116" t="str">
        <f>IF(D116="","",IF(B116=0,tech!$B$9,IF(AND(B116=1,N116=0),tech!$B$21,I116)))</f>
        <v>Advanced</v>
      </c>
    </row>
    <row r="117" spans="2:15" ht="360" customHeight="1" x14ac:dyDescent="0.25">
      <c r="B117">
        <f>IF(B$112=0,0,IF(F117=tech!$B$9,0,1))</f>
        <v>1</v>
      </c>
      <c r="C117" s="23" t="s">
        <v>100</v>
      </c>
      <c r="D117" s="38" t="str">
        <f>IFERROR(VLOOKUP(C117,source!$BF$4:$BH$13,3,0),"")</f>
        <v>Business continuity planning and disaster recovery</v>
      </c>
      <c r="E117" s="31">
        <f>IFERROR(VLOOKUP(C117,source!$BF$4:$BH$13,2,0),0)*B117</f>
        <v>5</v>
      </c>
      <c r="F117" s="12" t="str">
        <f>IF(Scoping!K71=tech!$A$5,tech!$B$9,"")</f>
        <v/>
      </c>
      <c r="G117" s="12" t="str" cm="1">
        <f t="array" ref="G117">_xlfn.TEXTJOIN(CHAR(10),0,_xlfn._xlws.FILTER(source!$BI$15:$BI$300,source!$BH$15:$BH$300=_xlfn.CONCAT($C117,LEFT(G$15,1),"Y"),""))</f>
        <v>The business continuity planning and disaster recovery are the key activities to ensure availability of the PKI operations. The business continuity planning is used to define the recovery time objectives (RTO) and recovery point objectives (RPO) for the PKI. The RTO and RPO are used to define the required resources and their availability.
Requirements for the business continuity and disaster recovery should be properly defined. It contains backups of the PKI resources, such as hardware security modules (HSM), databases, configuration files, etc. The availability of backups should be tested regularly to ensure that the backups are available when needed, especially during the disaster.
Proper measures are applied to identify the disaster and a communication matrix is maintained to ensure that the right people are informed about the disaster on time and the recovery process can be started.
The following parts are typically covered:
• Scope of the business continuity and disaster recovery
• roles and responsibilities
• Activation of disaster recovery
• Physical Locations
• Communication matrix
• other requirements and information needed</v>
      </c>
      <c r="H117" s="35" t="str" cm="1">
        <f t="array" ref="H117">_xlfn.TEXTJOIN(CHAR(10),0,_xlfn._xlws.FILTER(source!$BI$15:$BI$300,source!$BH$15:$BH$300=_xlfn.CONCAT($C117,LEFT(H$15,1),"Y"),""))</f>
        <v>The following is sample evidence that can be used to assess the requirement:
• Documented business continuity and disaster recovery plans
• Documented recovery time objectives (RTO) and recovery point objectives (RPO)
• Documented Backup and recovery procedures
• Communication matrix and contact information
• Availability of backups and other requirements to execute the disaster recovery Procedure
• Periodically tested effectiveness of the disaster recovery</v>
      </c>
      <c r="I117" s="198" t="s">
        <v>50</v>
      </c>
      <c r="J117" s="653"/>
      <c r="K117" s="654"/>
      <c r="L117" s="654"/>
      <c r="M117" s="752"/>
      <c r="N117">
        <f>IF(I117="",0,VLOOKUP(I117,tech!$A$13:$B$17,2,0))*E117</f>
        <v>20</v>
      </c>
      <c r="O117" t="str">
        <f>IF(D117="","",IF(B117=0,tech!$B$9,IF(AND(B117=1,N117=0),tech!$B$21,I117)))</f>
        <v>Managed</v>
      </c>
    </row>
    <row r="118" spans="2:15" ht="210" x14ac:dyDescent="0.25">
      <c r="B118">
        <f>IF(B$112=0,0,IF(F118=tech!$B$9,0,1))</f>
        <v>1</v>
      </c>
      <c r="C118" s="23" t="s">
        <v>101</v>
      </c>
      <c r="D118" s="38" t="str">
        <f>IFERROR(VLOOKUP(C118,source!$BF$4:$BH$13,3,0),"")</f>
        <v>Technology future proofing</v>
      </c>
      <c r="E118" s="31">
        <f>IFERROR(VLOOKUP(C118,source!$BF$4:$BH$13,2,0),0)*B118</f>
        <v>3</v>
      </c>
      <c r="F118" s="12" t="str">
        <f>IF(Scoping!K72=tech!$A$5,tech!$B$9,"")</f>
        <v/>
      </c>
      <c r="G118" s="12" t="str" cm="1">
        <f t="array" ref="G118">_xlfn.TEXTJOIN(CHAR(10),0,_xlfn._xlws.FILTER(source!$BI$15:$BI$300,source!$BH$15:$BH$300=_xlfn.CONCAT($C118,LEFT(G$15,1),"Y"),""))</f>
        <v>Applicable technology should always be future proofed to ensure that the PKI is able to adapt to changes, and will support the organization PKI in the future when new standards, algorithms, and approach will be developed.
When deciding to apply new technologies, or evaluating if the current technology is still suitable and support the goals of the PKI implementation, the following should be considered:
• Technology is supported by the Vendor
• Industry standards are applied for interoperability and Security
• Review and references on the Vendor and Technology
• Applicability of the Technology for long-term use
• vulnerabilities and Security reports of the Technology
• Integration capabilities and customizations needed
• open source vs. proprietary Technology</v>
      </c>
      <c r="H118" s="35" t="str" cm="1">
        <f t="array" ref="H118">_xlfn.TEXTJOIN(CHAR(10),0,_xlfn._xlws.FILTER(source!$BI$15:$BI$300,source!$BH$15:$BH$300=_xlfn.CONCAT($C118,LEFT(H$15,1),"Y"),""))</f>
        <v>The following is sample evidence that can be used to assess the requirement:
• Interview with the CTO or CIO
• documentation of the Technology future proofing
• RFI and RFP documents
• Vendor and Technology check</v>
      </c>
      <c r="I118" s="198" t="s">
        <v>50</v>
      </c>
      <c r="J118" s="653"/>
      <c r="K118" s="654"/>
      <c r="L118" s="654"/>
      <c r="M118" s="752"/>
      <c r="N118">
        <f>IF(I118="",0,VLOOKUP(I118,tech!$A$13:$B$17,2,0))*E118</f>
        <v>12</v>
      </c>
      <c r="O118" t="str">
        <f>IF(D118="","",IF(B118=0,tech!$B$9,IF(AND(B118=1,N118=0),tech!$B$21,I118)))</f>
        <v>Managed</v>
      </c>
    </row>
    <row r="119" spans="2:15" ht="240" customHeight="1" x14ac:dyDescent="0.25">
      <c r="B119">
        <f>IF(B$112=0,0,IF(F119=tech!$B$9,0,1))</f>
        <v>1</v>
      </c>
      <c r="C119" s="23" t="s">
        <v>102</v>
      </c>
      <c r="D119" s="38" t="str">
        <f>IFERROR(VLOOKUP(C119,source!$BF$4:$BH$13,3,0),"")</f>
        <v>Competence and information sharing</v>
      </c>
      <c r="E119" s="31">
        <f>IFERROR(VLOOKUP(C119,source!$BF$4:$BH$13,2,0),0)*B119</f>
        <v>3</v>
      </c>
      <c r="F119" s="12" t="str">
        <f>IF(Scoping!K73=tech!$A$5,tech!$B$9,"")</f>
        <v/>
      </c>
      <c r="G119" s="12" t="str" cm="1">
        <f t="array" ref="G119">_xlfn.TEXTJOIN(CHAR(10),0,_xlfn._xlws.FILTER(source!$BI$15:$BI$300,source!$BH$15:$BH$300=_xlfn.CONCAT($C119,LEFT(G$15,1),"Y"),""))</f>
        <v>Organization environments may change over time. The impact of changes can be in various forms, for example:
• personnel can rotate in their positions, new people can be hired, or people can leave the organization
• technologies are changing, therefore required skills and knowledge may change
• procedures and eventually management of the PKI will be adjusted
The organization needs to ensure that the competence of the personnel is maintained and the information is shared to not lose the knowledge introduced by changes within known and unknown variables. The organization should have a plan to ensure that the competence is maintained for the most critical parts of the PKI.
The competence and information sharing is an important part to achieve the resilience of the PKI implementation by having relevant information and competencies ready when needed.</v>
      </c>
      <c r="H119" s="35" t="str" cm="1">
        <f t="array" ref="H119">_xlfn.TEXTJOIN(CHAR(10),0,_xlfn._xlws.FILTER(source!$BI$15:$BI$300,source!$BH$15:$BH$300=_xlfn.CONCAT($C119,LEFT(H$15,1),"Y"),""))</f>
        <v>The following is sample evidence that can be used to assess the requirement:
• documentation and collaboration
• Onboarding and offboarding procedures
• Building competence and knowledge sharing</v>
      </c>
      <c r="I119" s="198" t="s">
        <v>47</v>
      </c>
      <c r="J119" s="653"/>
      <c r="K119" s="654"/>
      <c r="L119" s="654"/>
      <c r="M119" s="752"/>
      <c r="N119">
        <f>IF(I119="",0,VLOOKUP(I119,tech!$A$13:$B$17,2,0))*E119</f>
        <v>3</v>
      </c>
      <c r="O119" t="str">
        <f>IF(D119="","",IF(B119=0,tech!$B$9,IF(AND(B119=1,N119=0),tech!$B$21,I119)))</f>
        <v>Initial</v>
      </c>
    </row>
    <row r="120" spans="2:15" ht="75.75" thickBot="1" x14ac:dyDescent="0.3">
      <c r="B120">
        <f>IF(B$112=0,0,IF(F120=tech!$B$9,0,1))</f>
        <v>1</v>
      </c>
      <c r="C120" s="24" t="s">
        <v>103</v>
      </c>
      <c r="D120" s="39" t="str">
        <f>IFERROR(VLOOKUP(C120,source!$BF$4:$BH$13,3,0),"")</f>
        <v>Continual review and improvement</v>
      </c>
      <c r="E120" s="32">
        <f>IFERROR(VLOOKUP(C120,source!$BF$4:$BH$13,2,0),0)*B120</f>
        <v>4</v>
      </c>
      <c r="F120" s="13" t="str">
        <f>IF(Scoping!K74=tech!$A$5,tech!$B$9,"")</f>
        <v/>
      </c>
      <c r="G120" s="13" t="str" cm="1">
        <f t="array" ref="G120">_xlfn.TEXTJOIN(CHAR(10),0,_xlfn._xlws.FILTER(source!$BI$15:$BI$300,source!$BH$15:$BH$300=_xlfn.CONCAT($C120,LEFT(G$15,1),"Y"),""))</f>
        <v>The resilience of the PKI implementation should be reviewed and improved regularly. The review and improvement process should be documented and the results should be used to improve the resilience of the PKI implementation. The frequency of review should be based on the organizational risks and needs to be protected against current and future trends.</v>
      </c>
      <c r="H120" s="36" t="str" cm="1">
        <f t="array" ref="H120">_xlfn.TEXTJOIN(CHAR(10),0,_xlfn._xlws.FILTER(source!$BI$15:$BI$300,source!$BH$15:$BH$300=_xlfn.CONCAT($C120,LEFT(H$15,1),"Y"),""))</f>
        <v>The following is sample evidence that can be used to assess the requirement:
• resilience effectiveness Review frequency
• implementation of Review process
• Validation of documentation and reviews
• Training records</v>
      </c>
      <c r="I120" s="199" t="s">
        <v>49</v>
      </c>
      <c r="J120" s="657"/>
      <c r="K120" s="640"/>
      <c r="L120" s="640"/>
      <c r="M120" s="751"/>
      <c r="N120">
        <f>IF(I120="",0,VLOOKUP(I120,tech!$A$13:$B$17,2,0))*E120</f>
        <v>12</v>
      </c>
      <c r="O120" t="str">
        <f>IF(D120="","",IF(B120=0,tech!$B$9,IF(AND(B120=1,N120=0),tech!$B$21,I120)))</f>
        <v>Advanced</v>
      </c>
    </row>
    <row r="121" spans="2:15" ht="15.75" thickBot="1" x14ac:dyDescent="0.3">
      <c r="C121" s="2"/>
      <c r="D121" s="2"/>
      <c r="E121" s="3"/>
      <c r="F121" s="3"/>
    </row>
    <row r="122" spans="2:15" ht="15" customHeight="1" x14ac:dyDescent="0.25">
      <c r="C122" s="788" t="str">
        <f>tech!A126</f>
        <v>3.2. Interoperability</v>
      </c>
      <c r="D122" s="789"/>
      <c r="E122" s="186" t="s">
        <v>1</v>
      </c>
      <c r="F122" s="789" t="str">
        <f>IF(B123=0,tech!$A$9,"")</f>
        <v/>
      </c>
      <c r="G122" s="789"/>
      <c r="H122" s="789"/>
      <c r="I122" s="789"/>
      <c r="J122" s="789"/>
      <c r="K122" s="789"/>
      <c r="L122" s="789"/>
      <c r="M122" s="802"/>
    </row>
    <row r="123" spans="2:15" ht="15" customHeight="1" x14ac:dyDescent="0.25">
      <c r="B123">
        <f>IF(Scoping!F65=tech!$A$5,0,1)</f>
        <v>1</v>
      </c>
      <c r="C123" s="790"/>
      <c r="D123" s="791"/>
      <c r="E123" s="138">
        <f>VLOOKUP(C122,tech!$A$117:$B$131,2,0)*B123</f>
        <v>2</v>
      </c>
      <c r="F123" s="791"/>
      <c r="G123" s="791"/>
      <c r="H123" s="791"/>
      <c r="I123" s="791"/>
      <c r="J123" s="791"/>
      <c r="K123" s="791"/>
      <c r="L123" s="791"/>
      <c r="M123" s="803"/>
      <c r="N123">
        <f>IF(SUM(B126:B131)=0,0,TRUNC(SUM(N126:N131)/SUM(E126:E131),0))</f>
        <v>3</v>
      </c>
    </row>
    <row r="124" spans="2:15" ht="15.75" thickBot="1" x14ac:dyDescent="0.3">
      <c r="C124" s="799"/>
      <c r="D124" s="800"/>
      <c r="E124" s="800"/>
      <c r="F124" s="800"/>
      <c r="G124" s="800"/>
      <c r="H124" s="800"/>
      <c r="I124" s="800"/>
      <c r="J124" s="800"/>
      <c r="K124" s="800"/>
      <c r="L124" s="800"/>
      <c r="M124" s="801"/>
    </row>
    <row r="125" spans="2:15" ht="15.75" thickBot="1" x14ac:dyDescent="0.3">
      <c r="C125" s="26" t="s">
        <v>10</v>
      </c>
      <c r="D125" s="27" t="s">
        <v>9</v>
      </c>
      <c r="E125" s="28" t="s">
        <v>1</v>
      </c>
      <c r="F125" s="29" t="s">
        <v>55</v>
      </c>
      <c r="G125" s="29" t="s">
        <v>7</v>
      </c>
      <c r="H125" s="33" t="s">
        <v>8</v>
      </c>
      <c r="I125" s="196" t="s">
        <v>141</v>
      </c>
      <c r="J125" s="759" t="s">
        <v>11</v>
      </c>
      <c r="K125" s="760"/>
      <c r="L125" s="760" t="s">
        <v>151</v>
      </c>
      <c r="M125" s="761"/>
    </row>
    <row r="126" spans="2:15" ht="225" x14ac:dyDescent="0.25">
      <c r="B126">
        <f>IF(B$123=0,0,IF(F126=tech!$B$9,0,1))</f>
        <v>1</v>
      </c>
      <c r="C126" s="25" t="s">
        <v>104</v>
      </c>
      <c r="D126" s="37" t="str">
        <f>IFERROR(VLOOKUP(C126,source!$BL$4:$BN$13,3,0),"")</f>
        <v>Maintain PKI interoperability strategy</v>
      </c>
      <c r="E126" s="30">
        <f>IFERROR(VLOOKUP(C126,source!$BL$4:$BN$13,2,0),0)*B126</f>
        <v>3</v>
      </c>
      <c r="F126" s="11" t="str">
        <f>IF(Scoping!K80=tech!$A$5,tech!$B$9,"")</f>
        <v/>
      </c>
      <c r="G126" s="22" t="str" cm="1">
        <f t="array" ref="G126">_xlfn.TEXTJOIN(CHAR(10),0,_xlfn._xlws.FILTER(source!$BO$15:$BO$300,source!$BN$15:$BN$300=_xlfn.CONCAT($C126,LEFT(G$15,1),"Y"),""))</f>
        <v>The interoperability strategy defines the interoperability requirements and the approach to achieve interoperability between the PKI components to ensure the PKI implementation is able to adopt new technologies and standards in the future, and will not be locked-in to a specific vendor.
PKI interoperability strategy should be maintained, documented, and integrated in the organization. It should cover at least the following information:
• Application of interoperability
• Using open standards and protocols
• Conditions for PKI components to be interoperable
• Restrictions on the use of proprietary interfaces
• interoperability testing
• requirements for migration to New technologies
• requirements for vendors
• other relevant information</v>
      </c>
      <c r="H126" s="34" t="str" cm="1">
        <f t="array" ref="H126">_xlfn.TEXTJOIN(CHAR(10),0,_xlfn._xlws.FILTER(source!$BO$15:$BO$300,source!$BN$15:$BN$300=_xlfn.CONCAT($C126,LEFT(H$15,1),"Y"),""))</f>
        <v>The following evidence should be available for the assessment of the requirement:
• Documented and approved interoperability strategy
• interoperability strategy is integrated in the organization
• Interview with the responsible person(s) to verify Understanding of the interoperability strategy
• Review documentation for PKI components to verify the requirements for interoperability</v>
      </c>
      <c r="I126" s="193" t="s">
        <v>49</v>
      </c>
      <c r="J126" s="663"/>
      <c r="K126" s="664"/>
      <c r="L126" s="664"/>
      <c r="M126" s="753"/>
      <c r="N126">
        <f>IF(I126="",0,VLOOKUP(I126,tech!$A$13:$B$17,2,0))*E126</f>
        <v>9</v>
      </c>
      <c r="O126" t="str">
        <f>IF(D126="","",IF(B126=0,tech!$B$9,IF(AND(B126=1,N126=0),tech!$B$21,I126)))</f>
        <v>Advanced</v>
      </c>
    </row>
    <row r="127" spans="2:15" ht="165" customHeight="1" x14ac:dyDescent="0.25">
      <c r="B127">
        <f>IF(B$123=0,0,IF(F127=tech!$B$9,0,1))</f>
        <v>1</v>
      </c>
      <c r="C127" s="23" t="s">
        <v>105</v>
      </c>
      <c r="D127" s="38" t="str">
        <f>IFERROR(VLOOKUP(C127,source!$BL$4:$BN$13,3,0),"")</f>
        <v>Documented integration guidance</v>
      </c>
      <c r="E127" s="31">
        <f>IFERROR(VLOOKUP(C127,source!$BL$4:$BN$13,2,0),0)*B127</f>
        <v>1</v>
      </c>
      <c r="F127" s="12" t="str">
        <f>IF(Scoping!K81=tech!$A$5,tech!$B$9,"")</f>
        <v/>
      </c>
      <c r="G127" s="12" t="str" cm="1">
        <f t="array" ref="G127">_xlfn.TEXTJOIN(CHAR(10),0,_xlfn._xlws.FILTER(source!$BO$15:$BO$300,source!$BN$15:$BN$300=_xlfn.CONCAT($C127,LEFT(G$15,1),"Y"),""))</f>
        <v>To have effective interoperability between PKI components, it is important to have a proper integration in place that serves the purpose and does not expose any potential risks. Available and documented integration guidance for the developers and administrators should be maintained and updated regularly.
The integration guidance should be available for all critical PKI components and should cover at least the following information:
• Integration requirements and Prerequisites
• applicable standards and protocols
• Integration architecture
• Integration testing</v>
      </c>
      <c r="H127" s="35" t="str" cm="1">
        <f t="array" ref="H127">_xlfn.TEXTJOIN(CHAR(10),0,_xlfn._xlws.FILTER(source!$BO$15:$BO$300,source!$BN$15:$BN$300=_xlfn.CONCAT($C127,LEFT(H$15,1),"Y"),""))</f>
        <v>The following evidence should be available for the assessment of the requirement:
• Documented Integration guidance for all critical PKI components
• Interview with the system administrators and developers
• Review of the Integration guidance
• system configuration Review</v>
      </c>
      <c r="I127" s="194" t="s">
        <v>49</v>
      </c>
      <c r="J127" s="653"/>
      <c r="K127" s="654"/>
      <c r="L127" s="654"/>
      <c r="M127" s="752"/>
      <c r="N127">
        <f>IF(I127="",0,VLOOKUP(I127,tech!$A$13:$B$17,2,0))*E127</f>
        <v>3</v>
      </c>
      <c r="O127" t="str">
        <f>IF(D127="","",IF(B127=0,tech!$B$9,IF(AND(B127=1,N127=0),tech!$B$21,I127)))</f>
        <v>Advanced</v>
      </c>
    </row>
    <row r="128" spans="2:15" ht="195" customHeight="1" thickBot="1" x14ac:dyDescent="0.3">
      <c r="B128">
        <f>IF(B$123=0,0,IF(F128=tech!$B$9,0,1))</f>
        <v>1</v>
      </c>
      <c r="C128" s="24" t="s">
        <v>106</v>
      </c>
      <c r="D128" s="39" t="str">
        <f>IFERROR(VLOOKUP(C128,source!$BL$4:$BN$13,3,0),"")</f>
        <v>Adoption and application of open standards</v>
      </c>
      <c r="E128" s="32">
        <f>IFERROR(VLOOKUP(C128,source!$BL$4:$BN$13,2,0),0)*B128</f>
        <v>3</v>
      </c>
      <c r="F128" s="13" t="str">
        <f>IF(Scoping!K82=tech!$A$5,tech!$B$9,"")</f>
        <v/>
      </c>
      <c r="G128" s="13" t="str" cm="1">
        <f t="array" ref="G128">_xlfn.TEXTJOIN(CHAR(10),0,_xlfn._xlws.FILTER(source!$BO$15:$BO$300,source!$BN$15:$BN$300=_xlfn.CONCAT($C128,LEFT(G$15,1),"Y"),""))</f>
        <v>Open standards are publicly available standards that are developed and maintained by communities or standardization bodies. Open standards are developed through a consensus-based process and are available to everyone without any restrictions. Open standards are usually free to use and implement.
The open standards are important for interoperability as they are typically technology-agnostic and are supported by technologies and solutions. Open standards are applicable for interfaces, communication protocols, cryptographic algorithms, data formats, automation and orchestration, and other aspects of the PKI.
The adoption of open standards significant increase interoperability and reduce the risk of vendor lock-in.</v>
      </c>
      <c r="H128" s="36" t="str" cm="1">
        <f t="array" ref="H128">_xlfn.TEXTJOIN(CHAR(10),0,_xlfn._xlws.FILTER(source!$BO$15:$BO$300,source!$BN$15:$BN$300=_xlfn.CONCAT($C128,LEFT(H$15,1),"Y"),""))</f>
        <v>The following evidence should be available for the assessment of the requirement:
• Documented list of open standards used by the PKI
• Policies requiring the use of open standards
• Interview with the responsible person to verify Understanding of the open standards
• Review of Training materials</v>
      </c>
      <c r="I128" s="195" t="s">
        <v>50</v>
      </c>
      <c r="J128" s="657"/>
      <c r="K128" s="640"/>
      <c r="L128" s="640"/>
      <c r="M128" s="751"/>
      <c r="N128">
        <f>IF(I128="",0,VLOOKUP(I128,tech!$A$13:$B$17,2,0))*E128</f>
        <v>12</v>
      </c>
      <c r="O128" t="str">
        <f>IF(D128="","",IF(B128=0,tech!$B$9,IF(AND(B128=1,N128=0),tech!$B$21,I128)))</f>
        <v>Managed</v>
      </c>
    </row>
    <row r="129" spans="2:15" ht="18.75" hidden="1" x14ac:dyDescent="0.25">
      <c r="B129">
        <f>IF(B$123=0,0,IF(F129=tech!$B$9,0,1))</f>
        <v>1</v>
      </c>
      <c r="C129" s="25" t="s">
        <v>107</v>
      </c>
      <c r="D129" s="37" t="str">
        <f>IFERROR(VLOOKUP(C129,source!$BL$4:$BN$13,3,0),"")</f>
        <v/>
      </c>
      <c r="E129" s="30">
        <f>IFERROR(VLOOKUP(C129,source!$BL$4:$BN$13,2,0),0)*B129</f>
        <v>0</v>
      </c>
      <c r="F129" s="22" t="str">
        <f>IF(Scoping!K83=tech!$A$5,tech!$B$9,"")</f>
        <v/>
      </c>
      <c r="G129" s="22" t="str" cm="1">
        <f t="array" ref="G129">_xlfn.TEXTJOIN(CHAR(10),0,_xlfn._xlws.FILTER(source!$BO$15:$BO$300,source!$BN$15:$BN$300=_xlfn.CONCAT($C129,LEFT(G$15,1),"Y"),""))</f>
        <v/>
      </c>
      <c r="H129" s="34" t="str" cm="1">
        <f t="array" ref="H129">_xlfn.TEXTJOIN(CHAR(10),0,_xlfn._xlws.FILTER(source!$BO$15:$BO$300,source!$BN$15:$BN$300=_xlfn.CONCAT($C129,LEFT(H$15,1),"Y"),""))</f>
        <v/>
      </c>
      <c r="I129" s="193"/>
      <c r="J129" s="757"/>
      <c r="K129" s="670"/>
      <c r="L129" s="670"/>
      <c r="M129" s="758"/>
      <c r="N129">
        <f>IF(I129="",0,VLOOKUP(I129,tech!$A$13:$B$17,2,0))*E129</f>
        <v>0</v>
      </c>
      <c r="O129" t="str">
        <f>IF(D129="","",IF(B129=0,tech!$B$9,IF(AND(B129=1,N129=0),tech!$B$21,I129)))</f>
        <v/>
      </c>
    </row>
    <row r="130" spans="2:15" ht="18.75" hidden="1" x14ac:dyDescent="0.25">
      <c r="B130">
        <f>IF(B$123=0,0,IF(F130=tech!$B$9,0,1))</f>
        <v>1</v>
      </c>
      <c r="C130" s="23" t="s">
        <v>108</v>
      </c>
      <c r="D130" s="38" t="str">
        <f>IFERROR(VLOOKUP(C130,source!$BL$4:$BN$13,3,0),"")</f>
        <v/>
      </c>
      <c r="E130" s="31">
        <f>IFERROR(VLOOKUP(C130,source!$BL$4:$BN$13,2,0),0)*B130</f>
        <v>0</v>
      </c>
      <c r="F130" s="12" t="str">
        <f>IF(Scoping!K84=tech!$A$5,tech!$B$9,"")</f>
        <v/>
      </c>
      <c r="G130" s="12" t="str" cm="1">
        <f t="array" ref="G130">_xlfn.TEXTJOIN(CHAR(10),0,_xlfn._xlws.FILTER(source!$BO$15:$BO$300,source!$BN$15:$BN$300=_xlfn.CONCAT($C130,LEFT(G$15,1),"Y"),""))</f>
        <v/>
      </c>
      <c r="H130" s="35" t="str" cm="1">
        <f t="array" ref="H130">_xlfn.TEXTJOIN(CHAR(10),0,_xlfn._xlws.FILTER(source!$BO$15:$BO$300,source!$BN$15:$BN$300=_xlfn.CONCAT($C130,LEFT(H$15,1),"Y"),""))</f>
        <v/>
      </c>
      <c r="I130" s="194"/>
      <c r="J130" s="653"/>
      <c r="K130" s="654"/>
      <c r="L130" s="654"/>
      <c r="M130" s="752"/>
      <c r="N130">
        <f>IF(I130="",0,VLOOKUP(I130,tech!$A$13:$B$17,2,0))*E130</f>
        <v>0</v>
      </c>
      <c r="O130" t="str">
        <f>IF(D130="","",IF(B130=0,tech!$B$9,IF(AND(B130=1,N130=0),tech!$B$21,I130)))</f>
        <v/>
      </c>
    </row>
    <row r="131" spans="2:15" ht="19.5" hidden="1" thickBot="1" x14ac:dyDescent="0.3">
      <c r="B131">
        <f>IF(B$123=0,0,IF(F131=tech!$B$9,0,1))</f>
        <v>1</v>
      </c>
      <c r="C131" s="24" t="s">
        <v>109</v>
      </c>
      <c r="D131" s="39" t="str">
        <f>IFERROR(VLOOKUP(C131,source!$BL$4:$BN$13,3,0),"")</f>
        <v/>
      </c>
      <c r="E131" s="32">
        <f>IFERROR(VLOOKUP(C131,source!$BL$4:$BN$13,2,0),0)*B131</f>
        <v>0</v>
      </c>
      <c r="F131" s="13" t="str">
        <f>IF(Scoping!K85=tech!$A$5,tech!$B$9,"")</f>
        <v/>
      </c>
      <c r="G131" s="13" t="str" cm="1">
        <f t="array" ref="G131">_xlfn.TEXTJOIN(CHAR(10),0,_xlfn._xlws.FILTER(source!$BO$15:$BO$300,source!$BN$15:$BN$300=_xlfn.CONCAT($C131,LEFT(G$15,1),"Y"),""))</f>
        <v/>
      </c>
      <c r="H131" s="36" t="str" cm="1">
        <f t="array" ref="H131">_xlfn.TEXTJOIN(CHAR(10),0,_xlfn._xlws.FILTER(source!$BO$15:$BO$300,source!$BN$15:$BN$300=_xlfn.CONCAT($C131,LEFT(H$15,1),"Y"),""))</f>
        <v/>
      </c>
      <c r="I131" s="195"/>
      <c r="J131" s="657"/>
      <c r="K131" s="640"/>
      <c r="L131" s="640"/>
      <c r="M131" s="751"/>
      <c r="N131">
        <f>IF(I131="",0,VLOOKUP(I131,tech!$A$13:$B$17,2,0))*E131</f>
        <v>0</v>
      </c>
      <c r="O131" t="str">
        <f>IF(D131="","",IF(B131=0,tech!$B$9,IF(AND(B131=1,N131=0),tech!$B$21,I131)))</f>
        <v/>
      </c>
    </row>
    <row r="132" spans="2:15" ht="15.75" thickBot="1" x14ac:dyDescent="0.3">
      <c r="C132" s="2"/>
      <c r="D132" s="2"/>
      <c r="E132" s="3"/>
      <c r="F132" s="3"/>
    </row>
    <row r="133" spans="2:15" ht="15" customHeight="1" x14ac:dyDescent="0.25">
      <c r="C133" s="788" t="str">
        <f>tech!A127</f>
        <v>3.3. Monitoring and Auditing</v>
      </c>
      <c r="D133" s="789"/>
      <c r="E133" s="186" t="s">
        <v>1</v>
      </c>
      <c r="F133" s="789" t="str">
        <f>IF(B134=0,tech!$A$9,"")</f>
        <v/>
      </c>
      <c r="G133" s="789"/>
      <c r="H133" s="789"/>
      <c r="I133" s="789"/>
      <c r="J133" s="789"/>
      <c r="K133" s="789"/>
      <c r="L133" s="789"/>
      <c r="M133" s="802"/>
    </row>
    <row r="134" spans="2:15" ht="15" customHeight="1" x14ac:dyDescent="0.25">
      <c r="B134">
        <f>IF(Scoping!F71=tech!$A$5,0,1)</f>
        <v>1</v>
      </c>
      <c r="C134" s="790"/>
      <c r="D134" s="791"/>
      <c r="E134" s="138">
        <f>VLOOKUP(C133,tech!$A$117:$B$131,2,0)*B134</f>
        <v>2</v>
      </c>
      <c r="F134" s="791"/>
      <c r="G134" s="791"/>
      <c r="H134" s="791"/>
      <c r="I134" s="791"/>
      <c r="J134" s="791"/>
      <c r="K134" s="791"/>
      <c r="L134" s="791"/>
      <c r="M134" s="803"/>
      <c r="N134">
        <f>IF(SUM(B137:B142)=0,0,TRUNC(SUM(N137:N142)/SUM(E137:E142),0))</f>
        <v>3</v>
      </c>
    </row>
    <row r="135" spans="2:15" ht="15.75" thickBot="1" x14ac:dyDescent="0.3">
      <c r="C135" s="799"/>
      <c r="D135" s="800"/>
      <c r="E135" s="800"/>
      <c r="F135" s="800"/>
      <c r="G135" s="800"/>
      <c r="H135" s="800"/>
      <c r="I135" s="800"/>
      <c r="J135" s="800"/>
      <c r="K135" s="800"/>
      <c r="L135" s="800"/>
      <c r="M135" s="801"/>
    </row>
    <row r="136" spans="2:15" ht="15.75" thickBot="1" x14ac:dyDescent="0.3">
      <c r="C136" s="26" t="s">
        <v>10</v>
      </c>
      <c r="D136" s="27" t="s">
        <v>9</v>
      </c>
      <c r="E136" s="28" t="s">
        <v>1</v>
      </c>
      <c r="F136" s="29" t="s">
        <v>55</v>
      </c>
      <c r="G136" s="29" t="s">
        <v>7</v>
      </c>
      <c r="H136" s="33" t="s">
        <v>8</v>
      </c>
      <c r="I136" s="196" t="s">
        <v>141</v>
      </c>
      <c r="J136" s="759" t="s">
        <v>11</v>
      </c>
      <c r="K136" s="760"/>
      <c r="L136" s="760" t="s">
        <v>151</v>
      </c>
      <c r="M136" s="761"/>
    </row>
    <row r="137" spans="2:15" ht="210" x14ac:dyDescent="0.25">
      <c r="B137">
        <f>IF(B$134=0,0,IF(F137=tech!$B$9,0,1))</f>
        <v>1</v>
      </c>
      <c r="C137" s="25" t="s">
        <v>110</v>
      </c>
      <c r="D137" s="37" t="str">
        <f>IFERROR(VLOOKUP(C137,source!$BR$4:$BT$13,3,0),"")</f>
        <v>Monitoring events and logging requirements are defined and documented</v>
      </c>
      <c r="E137" s="30">
        <f>IFERROR(VLOOKUP(C137,source!$BR$4:$BT$13,2,0),0)*B137</f>
        <v>4</v>
      </c>
      <c r="F137" s="11" t="str">
        <f>IF(Scoping!K91=tech!$A$5,tech!$B$9,"")</f>
        <v/>
      </c>
      <c r="G137" s="286" t="str" cm="1">
        <f t="array" ref="G137">_xlfn.TEXTJOIN(CHAR(10),0,_xlfn._xlws.FILTER(source!$BU$15:$BU$300,source!$BT$15:$BT$300=_xlfn.CONCAT($C137,LEFT(G$15,1),"Y"),""))</f>
        <v>The monitoring and logging requirements should be defined and documented in the CP, CPS, or other relevant documents. The requirements should be aligned with the overall PKI policies and statements, and should be based on the risk assessment and management activities.
The requirements can typically include:
• events to be monitored
• frequency of Monitoring
• logs to be collected
• Retention period for logs
• Audit trail requirements
• Audit log protection requirements
• Formatting and interpretation of logs (syslog, JSON, XML, CEF, etc.)
• and other relevant requirements</v>
      </c>
      <c r="H137" s="252" t="str" cm="1">
        <f t="array" ref="H137">_xlfn.TEXTJOIN(CHAR(10),0,_xlfn._xlws.FILTER(source!$BU$15:$BU$300,source!$BT$15:$BT$300=_xlfn.CONCAT($C137,LEFT(H$15,1),"Y"),""))</f>
        <v>• Documented Monitoring and logging requirements
• Policies and procedures for Monitoring and logging
• Review of records
• Interviews with personnel</v>
      </c>
      <c r="I137" s="193" t="s">
        <v>49</v>
      </c>
      <c r="J137" s="663"/>
      <c r="K137" s="664"/>
      <c r="L137" s="664"/>
      <c r="M137" s="753"/>
      <c r="N137">
        <f>IF(I137="",0,VLOOKUP(I137,tech!$A$13:$B$17,2,0))*E137</f>
        <v>12</v>
      </c>
      <c r="O137" t="str">
        <f>IF(D137="","",IF(B137=0,tech!$B$9,IF(AND(B137=1,N137=0),tech!$B$21,I137)))</f>
        <v>Advanced</v>
      </c>
    </row>
    <row r="138" spans="2:15" ht="315" customHeight="1" x14ac:dyDescent="0.25">
      <c r="B138">
        <f>IF(B$134=0,0,IF(F138=tech!$B$9,0,1))</f>
        <v>1</v>
      </c>
      <c r="C138" s="23" t="s">
        <v>111</v>
      </c>
      <c r="D138" s="38" t="str">
        <f>IFERROR(VLOOKUP(C138,source!$BR$4:$BT$13,3,0),"")</f>
        <v>Event logs from systems are collected</v>
      </c>
      <c r="E138" s="31">
        <f>IFERROR(VLOOKUP(C138,source!$BR$4:$BT$13,2,0),0)*B138</f>
        <v>4</v>
      </c>
      <c r="F138" s="12" t="str">
        <f>IF(Scoping!K92=tech!$A$5,tech!$B$9,"")</f>
        <v/>
      </c>
      <c r="G138" s="287" t="str" cm="1">
        <f t="array" ref="G138">_xlfn.TEXTJOIN(CHAR(10),0,_xlfn._xlws.FILTER(source!$BU$15:$BU$300,source!$BT$15:$BT$300=_xlfn.CONCAT($C138,LEFT(G$15,1),"Y"),""))</f>
        <v>The event logs from systems should be collected and available for analysis, including correlation with other records. Centralized logging is recommended to ensure that the logs are collected and stored consistently. Solution like security information and event management (SIEM) can be used to collect and analyze the logs.
The availability of records for analysis depends on understanding logging format and interpretation of the information, therefore each system should provide logs in a consistent format that can be further processed and analyzed (or automated).
Logs and events should be collected from all systems that are relevant for the PKI implementation, such as key life cycle management events.
The event should contain sufficient information to identify the event, including:
• User Identification
• Type of event
• Date and time
• Success or failure indication
• Origination of event
• Identity or name of affected data, system component, or resource
• Additional details</v>
      </c>
      <c r="H138" s="253" t="str" cm="1">
        <f t="array" ref="H138">_xlfn.TEXTJOIN(CHAR(10),0,_xlfn._xlws.FILTER(source!$BU$15:$BU$300,source!$BT$15:$BT$300=_xlfn.CONCAT($C138,LEFT(H$15,1),"Y"),""))</f>
        <v>• logs are collected from systems
• logs have a consistent format and can be further processed and analyzed
• Review of records and their Formatting
• Review of configuration standards for logging
• Interviews with personnel to check the Understanding of logging format and interpretation of the information</v>
      </c>
      <c r="I138" s="194" t="s">
        <v>49</v>
      </c>
      <c r="J138" s="653"/>
      <c r="K138" s="654"/>
      <c r="L138" s="654"/>
      <c r="M138" s="752"/>
      <c r="N138">
        <f>IF(I138="",0,VLOOKUP(I138,tech!$A$13:$B$17,2,0))*E138</f>
        <v>12</v>
      </c>
      <c r="O138" t="str">
        <f>IF(D138="","",IF(B138=0,tech!$B$9,IF(AND(B138=1,N138=0),tech!$B$21,I138)))</f>
        <v>Advanced</v>
      </c>
    </row>
    <row r="139" spans="2:15" ht="240" customHeight="1" x14ac:dyDescent="0.25">
      <c r="B139">
        <f>IF(B$134=0,0,IF(F139=tech!$B$9,0,1))</f>
        <v>1</v>
      </c>
      <c r="C139" s="23" t="s">
        <v>112</v>
      </c>
      <c r="D139" s="38" t="str">
        <f>IFERROR(VLOOKUP(C139,source!$BR$4:$BT$13,3,0),"")</f>
        <v>Audit trail can be reconstructed from audit logs</v>
      </c>
      <c r="E139" s="31">
        <f>IFERROR(VLOOKUP(C139,source!$BR$4:$BT$13,2,0),0)*B139</f>
        <v>5</v>
      </c>
      <c r="F139" s="12" t="str">
        <f>IF(Scoping!K93=tech!$A$5,tech!$B$9,"")</f>
        <v/>
      </c>
      <c r="G139" s="287" t="str" cm="1">
        <f t="array" ref="G139">_xlfn.TEXTJOIN(CHAR(10),0,_xlfn._xlws.FILTER(source!$BU$15:$BU$300,source!$BT$15:$BT$300=_xlfn.CONCAT($C139,LEFT(G$15,1),"Y"),""))</f>
        <v>Audit logging should be implemented to ensure that the audit trail can be reconstructed from audit logs any time. Audit logs are typically recorded for any user executed events that are important for security of the PKI implementation. Audit logs should be stored in a secure location. The audit logs should be protected against unauthorized access, modification, and deletion.
Typically, the following events are important for security of the PKI implementation:
• all individual User accesses to sensitive data
• all actions taken by any individual with root or administrative privileges
• access to all Audit trails
• Invalid logical access attempts
• Use of and changes to identification and authentication mechanisms - including but not limited to creation of new accounts and elevation of privileges - and all changes, additions, or deletions to accounts with root or administrative privileges
• Initialization, stopping, or pausing of the audit logs
• creation and deletion of system-level objects</v>
      </c>
      <c r="H139" s="253" t="str" cm="1">
        <f t="array" ref="H139">_xlfn.TEXTJOIN(CHAR(10),0,_xlfn._xlws.FILTER(source!$BU$15:$BU$300,source!$BT$15:$BT$300=_xlfn.CONCAT($C139,LEFT(H$15,1),"Y"),""))</f>
        <v>• Audit trail can be reconstructed from Audit logs
• Audit logs are stored in a secure location
• Audit logs are protected against unauthorized access, modification, and deletion
• Review of records
• Interviews with personnel to Understand the Audit logging implementation</v>
      </c>
      <c r="I139" s="194" t="s">
        <v>49</v>
      </c>
      <c r="J139" s="653"/>
      <c r="K139" s="654"/>
      <c r="L139" s="654"/>
      <c r="M139" s="752"/>
      <c r="N139">
        <f>IF(I139="",0,VLOOKUP(I139,tech!$A$13:$B$17,2,0))*E139</f>
        <v>15</v>
      </c>
      <c r="O139" t="str">
        <f>IF(D139="","",IF(B139=0,tech!$B$9,IF(AND(B139=1,N139=0),tech!$B$21,I139)))</f>
        <v>Advanced</v>
      </c>
    </row>
    <row r="140" spans="2:15" ht="150" customHeight="1" x14ac:dyDescent="0.25">
      <c r="B140">
        <f>IF(B$134=0,0,IF(F140=tech!$B$9,0,1))</f>
        <v>1</v>
      </c>
      <c r="C140" s="23" t="s">
        <v>113</v>
      </c>
      <c r="D140" s="38" t="str">
        <f>IFERROR(VLOOKUP(C140,source!$BR$4:$BT$13,3,0),"")</f>
        <v>Monitoring of operational and security events is implemented</v>
      </c>
      <c r="E140" s="31">
        <f>IFERROR(VLOOKUP(C140,source!$BR$4:$BT$13,2,0),0)*B140</f>
        <v>5</v>
      </c>
      <c r="F140" s="12" t="str">
        <f>IF(Scoping!K94=tech!$A$5,tech!$B$9,"")</f>
        <v/>
      </c>
      <c r="G140" s="287" t="str" cm="1">
        <f t="array" ref="G140">_xlfn.TEXTJOIN(CHAR(10),0,_xlfn._xlws.FILTER(source!$BU$15:$BU$300,source!$BT$15:$BT$300=_xlfn.CONCAT($C140,LEFT(G$15,1),"Y"),""))</f>
        <v>Monitoring of operational and security events should be implemented to ensure that the PKI implementation is operating as expected and that the security events are detected and responded to in a timely manner and that evidence of any malicious event is identified. The monitoring should be implemented for all critical systems and components, including the CA, RA, OCSP, HSM, and other relevant systems.
Monitoring should be aligned with the monitoring and auditing requirements defined in the CP, CPS, and other relevant documents. The monitoring should be implemented to ensure that the requirements are met.</v>
      </c>
      <c r="H140" s="253" t="str" cm="1">
        <f t="array" ref="H140">_xlfn.TEXTJOIN(CHAR(10),0,_xlfn._xlws.FILTER(source!$BU$15:$BU$300,source!$BT$15:$BT$300=_xlfn.CONCAT($C140,LEFT(H$15,1),"Y"),""))</f>
        <v>• Monitoring of operational and Security events is implemented according to the requirements
• Review of monitoring implementation, including CA key life cycle management related events, security sensitive events, and other relevant events
• Review of Monitoring events and alerts
• Interviews with personnel responsible for Monitoring</v>
      </c>
      <c r="I140" s="194" t="s">
        <v>49</v>
      </c>
      <c r="J140" s="653"/>
      <c r="K140" s="654"/>
      <c r="L140" s="654"/>
      <c r="M140" s="752"/>
      <c r="N140">
        <f>IF(I140="",0,VLOOKUP(I140,tech!$A$13:$B$17,2,0))*E140</f>
        <v>15</v>
      </c>
      <c r="O140" t="str">
        <f>IF(D140="","",IF(B140=0,tech!$B$9,IF(AND(B140=1,N140=0),tech!$B$21,I140)))</f>
        <v>Advanced</v>
      </c>
    </row>
    <row r="141" spans="2:15" ht="90" customHeight="1" x14ac:dyDescent="0.25">
      <c r="B141">
        <f>IF(B$134=0,0,IF(F141=tech!$B$9,0,1))</f>
        <v>1</v>
      </c>
      <c r="C141" s="23" t="s">
        <v>114</v>
      </c>
      <c r="D141" s="38" t="str">
        <f>IFERROR(VLOOKUP(C141,source!$BR$4:$BT$13,3,0),"")</f>
        <v>Critical events are immediately alerted and resolved according to incident response plans</v>
      </c>
      <c r="E141" s="31">
        <f>IFERROR(VLOOKUP(C141,source!$BR$4:$BT$13,2,0),0)*B141</f>
        <v>3</v>
      </c>
      <c r="F141" s="12" t="str">
        <f>IF(Scoping!K95=tech!$A$5,tech!$B$9,"")</f>
        <v/>
      </c>
      <c r="G141" s="287" t="str" cm="1">
        <f t="array" ref="G141">_xlfn.TEXTJOIN(CHAR(10),0,_xlfn._xlws.FILTER(source!$BU$15:$BU$300,source!$BT$15:$BT$300=_xlfn.CONCAT($C141,LEFT(G$15,1),"Y"),""))</f>
        <v xml:space="preserve">Critical events should be immediately alerted and resolved according to incident response plans. Monitoring implementation should ensure that critical events are detected and alerted in a timely manner. This can be done manually or in an automated way. </v>
      </c>
      <c r="H141" s="253" t="str" cm="1">
        <f t="array" ref="H141">_xlfn.TEXTJOIN(CHAR(10),0,_xlfn._xlws.FILTER(source!$BU$15:$BU$300,source!$BT$15:$BT$300=_xlfn.CONCAT($C141,LEFT(H$15,1),"Y"),""))</f>
        <v>• Review of requirements for alerting on critical event, including security sensitive events
• Review of Monitoring implementation
• Review of documentation of critical events
• Interviews with personnel to check the Understanding of critical events and their handling</v>
      </c>
      <c r="I141" s="194" t="s">
        <v>49</v>
      </c>
      <c r="J141" s="653"/>
      <c r="K141" s="654"/>
      <c r="L141" s="654"/>
      <c r="M141" s="752"/>
      <c r="N141">
        <f>IF(I141="",0,VLOOKUP(I141,tech!$A$13:$B$17,2,0))*E141</f>
        <v>9</v>
      </c>
      <c r="O141" t="str">
        <f>IF(D141="","",IF(B141=0,tech!$B$9,IF(AND(B141=1,N141=0),tech!$B$21,I141)))</f>
        <v>Advanced</v>
      </c>
    </row>
    <row r="142" spans="2:15" ht="120" customHeight="1" thickBot="1" x14ac:dyDescent="0.3">
      <c r="B142">
        <f>IF(B$134=0,0,IF(F142=tech!$B$9,0,1))</f>
        <v>1</v>
      </c>
      <c r="C142" s="24" t="s">
        <v>115</v>
      </c>
      <c r="D142" s="39" t="str">
        <f>IFERROR(VLOOKUP(C142,source!$BR$4:$BT$13,3,0),"")</f>
        <v>Review of events and logs is periodically performed</v>
      </c>
      <c r="E142" s="32">
        <f>IFERROR(VLOOKUP(C142,source!$BR$4:$BT$13,2,0),0)*B142</f>
        <v>2</v>
      </c>
      <c r="F142" s="13" t="str">
        <f>IF(Scoping!K96=tech!$A$5,tech!$B$9,"")</f>
        <v/>
      </c>
      <c r="G142" s="288" t="str" cm="1">
        <f t="array" ref="G142">_xlfn.TEXTJOIN(CHAR(10),0,_xlfn._xlws.FILTER(source!$BU$15:$BU$300,source!$BT$15:$BT$300=_xlfn.CONCAT($C142,LEFT(G$15,1),"Y"),""))</f>
        <v>Logs and events should be reviewed frequently, preferably automatically, to determine security related issues, potential systems failure, identify anomalies or suspected activity. Regular review should be confirmed by authorized personnel who can proactively identify issues before they become problems.
The review of logs and events should be performed periodically and the frequency should be based on the risk assessment. Any potential issues should be reported and resolved according to the incident response plans.</v>
      </c>
      <c r="H142" s="251" t="str" cm="1">
        <f t="array" ref="H142">_xlfn.TEXTJOIN(CHAR(10),0,_xlfn._xlws.FILTER(source!$BU$15:$BU$300,source!$BT$15:$BT$300=_xlfn.CONCAT($C142,LEFT(H$15,1),"Y"),""))</f>
        <v>• Review of logs and events is performed Periodically
• Review of logs and events is performed according to the requirements
• Review of logs and events is confirmed by authorized personnel
• Interview with personnel responsible for Review of logs and events</v>
      </c>
      <c r="I142" s="195" t="s">
        <v>49</v>
      </c>
      <c r="J142" s="657"/>
      <c r="K142" s="640"/>
      <c r="L142" s="640"/>
      <c r="M142" s="751"/>
      <c r="N142">
        <f>IF(I142="",0,VLOOKUP(I142,tech!$A$13:$B$17,2,0))*E142</f>
        <v>6</v>
      </c>
      <c r="O142" t="str">
        <f>IF(D142="","",IF(B142=0,tech!$B$9,IF(AND(B142=1,N142=0),tech!$B$21,I142)))</f>
        <v>Advanced</v>
      </c>
    </row>
    <row r="143" spans="2:15" ht="15.75" thickBot="1" x14ac:dyDescent="0.3">
      <c r="C143" s="2"/>
      <c r="D143" s="2"/>
      <c r="E143" s="3"/>
      <c r="F143" s="3"/>
    </row>
    <row r="144" spans="2:15" ht="15" customHeight="1" x14ac:dyDescent="0.25">
      <c r="C144" s="788" t="str">
        <f>tech!A128</f>
        <v>3.4. Automation</v>
      </c>
      <c r="D144" s="789"/>
      <c r="E144" s="186" t="s">
        <v>1</v>
      </c>
      <c r="F144" s="789" t="str">
        <f>IF(B145=0,tech!$A$9,"")</f>
        <v/>
      </c>
      <c r="G144" s="789"/>
      <c r="H144" s="789"/>
      <c r="I144" s="789"/>
      <c r="J144" s="789"/>
      <c r="K144" s="789"/>
      <c r="L144" s="789"/>
      <c r="M144" s="802"/>
    </row>
    <row r="145" spans="2:15" ht="15" customHeight="1" x14ac:dyDescent="0.25">
      <c r="B145">
        <f>IF(Scoping!F77=tech!$A$5,0,1)</f>
        <v>1</v>
      </c>
      <c r="C145" s="790"/>
      <c r="D145" s="791"/>
      <c r="E145" s="138">
        <f>VLOOKUP(C144,tech!$A$117:$B$131,2,0)*B145</f>
        <v>2</v>
      </c>
      <c r="F145" s="791"/>
      <c r="G145" s="791"/>
      <c r="H145" s="791"/>
      <c r="I145" s="791"/>
      <c r="J145" s="791"/>
      <c r="K145" s="791"/>
      <c r="L145" s="791"/>
      <c r="M145" s="803"/>
      <c r="N145">
        <f>IF(SUM(B148:B153)=0,0,TRUNC(SUM(N148:N153)/SUM(E148:E153),0))</f>
        <v>2</v>
      </c>
    </row>
    <row r="146" spans="2:15" ht="15.75" thickBot="1" x14ac:dyDescent="0.3">
      <c r="C146" s="799"/>
      <c r="D146" s="800"/>
      <c r="E146" s="800"/>
      <c r="F146" s="800"/>
      <c r="G146" s="800"/>
      <c r="H146" s="800"/>
      <c r="I146" s="800"/>
      <c r="J146" s="800"/>
      <c r="K146" s="800"/>
      <c r="L146" s="800"/>
      <c r="M146" s="801"/>
    </row>
    <row r="147" spans="2:15" ht="15.75" thickBot="1" x14ac:dyDescent="0.3">
      <c r="C147" s="26" t="s">
        <v>10</v>
      </c>
      <c r="D147" s="27" t="s">
        <v>9</v>
      </c>
      <c r="E147" s="28" t="s">
        <v>1</v>
      </c>
      <c r="F147" s="29" t="s">
        <v>55</v>
      </c>
      <c r="G147" s="29" t="s">
        <v>7</v>
      </c>
      <c r="H147" s="33" t="s">
        <v>8</v>
      </c>
      <c r="I147" s="196" t="s">
        <v>141</v>
      </c>
      <c r="J147" s="759" t="s">
        <v>11</v>
      </c>
      <c r="K147" s="760"/>
      <c r="L147" s="760" t="s">
        <v>151</v>
      </c>
      <c r="M147" s="761"/>
    </row>
    <row r="148" spans="2:15" ht="240" x14ac:dyDescent="0.25">
      <c r="B148">
        <f>IF(B$145=0,0,IF(F148=tech!$B$9,0,1))</f>
        <v>1</v>
      </c>
      <c r="C148" s="25" t="s">
        <v>116</v>
      </c>
      <c r="D148" s="37" t="str">
        <f>IFERROR(VLOOKUP(C148,source!$BX$4:$BZ$13,3,0),"")</f>
        <v>Process automation description</v>
      </c>
      <c r="E148" s="30">
        <f>IFERROR(VLOOKUP(C148,source!$BX$4:$BZ$13,2,0),0)*B148</f>
        <v>3</v>
      </c>
      <c r="F148" s="11" t="str">
        <f>IF(Scoping!K102=tech!$A$5,tech!$B$9,"")</f>
        <v/>
      </c>
      <c r="G148" s="22" t="str" cm="1">
        <f t="array" ref="G148">_xlfn.TEXTJOIN(CHAR(10),0,_xlfn._xlws.FILTER(source!$CA$15:$CA$300,source!$BZ$15:$BZ$300=_xlfn.CONCAT($C148,LEFT(G$15,1),"Y"),""))</f>
        <v>Every automated certificate management process should be properly described and documented. The documentation should contain information relevant to the process automation and understanding the reasons for automation. Monitoring, auditing, and potential measures and controls would be ineffective without proper description and understanding of the automation process.
The description can include for example the following:
• use-case or process to be automated
• Reasons for automation
• description of the automation process
• involved Tools and technologies
• Monitoring and auditing requirements
• Potential measures and controls
• Exceptions
• logging and reporting
• any other relevant information and requirements</v>
      </c>
      <c r="H148" s="34" t="str" cm="1">
        <f t="array" ref="H148">_xlfn.TEXTJOIN(CHAR(10),0,_xlfn._xlws.FILTER(source!$CA$15:$CA$300,source!$BZ$15:$BZ$300=_xlfn.CONCAT($C148,LEFT(H$15,1),"Y"),""))</f>
        <v>The following is sample evidence that can be used to assess the requirement:
• process automation description
• Interview with the process owner
• Interview with administrators
• Sample of automated process logs</v>
      </c>
      <c r="I148" s="193" t="s">
        <v>48</v>
      </c>
      <c r="J148" s="663"/>
      <c r="K148" s="664"/>
      <c r="L148" s="664"/>
      <c r="M148" s="753"/>
      <c r="N148">
        <f>IF(I148="",0,VLOOKUP(I148,tech!$A$13:$B$17,2,0))*E148</f>
        <v>6</v>
      </c>
      <c r="O148" t="str">
        <f>IF(D148="","",IF(B148=0,tech!$B$9,IF(AND(B148=1,N148=0),tech!$B$21,I148)))</f>
        <v>Basic</v>
      </c>
    </row>
    <row r="149" spans="2:15" ht="165" customHeight="1" x14ac:dyDescent="0.25">
      <c r="B149">
        <f>IF(B$145=0,0,IF(F149=tech!$B$9,0,1))</f>
        <v>1</v>
      </c>
      <c r="C149" s="23" t="s">
        <v>117</v>
      </c>
      <c r="D149" s="38" t="str">
        <f>IFERROR(VLOOKUP(C149,source!$BX$4:$BZ$13,3,0),"")</f>
        <v>Monitoring and auditing of automated process</v>
      </c>
      <c r="E149" s="31">
        <f>IFERROR(VLOOKUP(C149,source!$BX$4:$BZ$13,2,0),0)*B149</f>
        <v>1</v>
      </c>
      <c r="F149" s="12" t="str">
        <f>IF(Scoping!K103=tech!$A$5,tech!$B$9,"")</f>
        <v/>
      </c>
      <c r="G149" s="12" t="str" cm="1">
        <f t="array" ref="G149">_xlfn.TEXTJOIN(CHAR(10),0,_xlfn._xlws.FILTER(source!$CA$15:$CA$300,source!$BZ$15:$BZ$300=_xlfn.CONCAT($C149,LEFT(G$15,1),"Y"),""))</f>
        <v>The automated process of certificate management can cause significant damage if misused or misconfigured. The monitoring and auditing of the automated process is essential to prevent the risk of misuse and to detect any potential issues, inefficiencies, or exceptions.
The monitoring and auditing should be performed on a regular basis and should be aligned with the overall monitoring and auditing strategy of the organization.
It should provide sufficient information to detect any potential issues with the automated process. For successful detection or identification of issues, proper expectations should be based on the description of the automated process.</v>
      </c>
      <c r="H149" s="35" t="str" cm="1">
        <f t="array" ref="H149">_xlfn.TEXTJOIN(CHAR(10),0,_xlfn._xlws.FILTER(source!$CA$15:$CA$300,source!$BZ$15:$BZ$300=_xlfn.CONCAT($C149,LEFT(H$15,1),"Y"),""))</f>
        <v>Monitoring of automated processes should be supported by monitoring tools and technologies that can provide the necessary overview, reporting, and potential alerting in case of issues.
The following is sample evidence that can be used to assess the requirement:
• Documented Monitoring and auditing measures
• Monitoring and auditing Tools and technologies applied
• Sample report or dashboard from Monitoring
• Interview with responsible personnel
• Simulate failure of the automated certificate management process and verify that the failure is detected and reported</v>
      </c>
      <c r="I149" s="194" t="s">
        <v>50</v>
      </c>
      <c r="J149" s="653"/>
      <c r="K149" s="654"/>
      <c r="L149" s="654"/>
      <c r="M149" s="752"/>
      <c r="N149">
        <f>IF(I149="",0,VLOOKUP(I149,tech!$A$13:$B$17,2,0))*E149</f>
        <v>4</v>
      </c>
      <c r="O149" t="str">
        <f>IF(D149="","",IF(B149=0,tech!$B$9,IF(AND(B149=1,N149=0),tech!$B$21,I149)))</f>
        <v>Managed</v>
      </c>
    </row>
    <row r="150" spans="2:15" ht="285" customHeight="1" thickBot="1" x14ac:dyDescent="0.3">
      <c r="B150">
        <f>IF(B$145=0,0,IF(F150=tech!$B$9,0,1))</f>
        <v>1</v>
      </c>
      <c r="C150" s="24" t="s">
        <v>118</v>
      </c>
      <c r="D150" s="39" t="str">
        <f>IFERROR(VLOOKUP(C150,source!$BX$4:$BZ$13,3,0),"")</f>
        <v>Incidents and exceptions handling</v>
      </c>
      <c r="E150" s="32">
        <f>IFERROR(VLOOKUP(C150,source!$BX$4:$BZ$13,2,0),0)*B150</f>
        <v>1</v>
      </c>
      <c r="F150" s="13" t="str">
        <f>IF(Scoping!K104=tech!$A$5,tech!$B$9,"")</f>
        <v/>
      </c>
      <c r="G150" s="13" t="str" cm="1">
        <f t="array" ref="G150">_xlfn.TEXTJOIN(CHAR(10),0,_xlfn._xlws.FILTER(source!$CA$15:$CA$300,source!$BZ$15:$BZ$300=_xlfn.CONCAT($C150,LEFT(G$15,1),"Y"),""))</f>
        <v>No automation is perfect and covers everything. There can be edge cases and other situations that were not part of the initial analysis or were simply forgotten. Therefore, there will always be exceptions and incidents that will require manual intervention. The automated process should be able to handle such exceptions and incidents in a way that will not cause any significant damage or disruption to the service.
It may happen that some certificates are required to be handled manually and therefore the exception should be approved and documented. 
Handling of exceptional situations should be covered in the documentation, stating what should be done in case of an exception or incident:
• Communication of the exception
• Approval of the exception
• incident handling and reporting
• any other relevant information
The handling of exceptions should be tested and verified on a regular basis to ensure that the process is working as expected.</v>
      </c>
      <c r="H150" s="36" t="str" cm="1">
        <f t="array" ref="H150">_xlfn.TEXTJOIN(CHAR(10),0,_xlfn._xlws.FILTER(source!$CA$15:$CA$300,source!$BZ$15:$BZ$300=_xlfn.CONCAT($C150,LEFT(H$15,1),"Y"),""))</f>
        <v>The following is sample evidence that can be used to assess the requirement:
• Documented Exceptions
• Interview with responsible personnel about how to handle Exceptions or incidents</v>
      </c>
      <c r="I150" s="195" t="s">
        <v>48</v>
      </c>
      <c r="J150" s="657"/>
      <c r="K150" s="640"/>
      <c r="L150" s="640"/>
      <c r="M150" s="751"/>
      <c r="N150">
        <f>IF(I150="",0,VLOOKUP(I150,tech!$A$13:$B$17,2,0))*E150</f>
        <v>2</v>
      </c>
      <c r="O150" t="str">
        <f>IF(D150="","",IF(B150=0,tech!$B$9,IF(AND(B150=1,N150=0),tech!$B$21,I150)))</f>
        <v>Basic</v>
      </c>
    </row>
    <row r="151" spans="2:15" ht="18" hidden="1" customHeight="1" x14ac:dyDescent="0.25">
      <c r="B151">
        <f>IF(B$145=0,0,IF(F151=tech!$B$9,0,1))</f>
        <v>1</v>
      </c>
      <c r="C151" s="25" t="s">
        <v>119</v>
      </c>
      <c r="D151" s="37" t="str">
        <f>IFERROR(VLOOKUP(C151,source!$BX$4:$BZ$13,3,0),"")</f>
        <v/>
      </c>
      <c r="E151" s="30">
        <f>IFERROR(VLOOKUP(C151,source!$BX$4:$BZ$13,2,0),0)*B151</f>
        <v>0</v>
      </c>
      <c r="F151" s="22" t="str">
        <f>IF(Scoping!K105=tech!$A$5,tech!$B$9,"")</f>
        <v/>
      </c>
      <c r="G151" s="22" t="str" cm="1">
        <f t="array" ref="G151">_xlfn.TEXTJOIN(CHAR(10),0,_xlfn._xlws.FILTER(source!$CA$15:$CA$300,source!$BZ$15:$BZ$300=_xlfn.CONCAT($C151,LEFT(G$15,1),"Y"),""))</f>
        <v/>
      </c>
      <c r="H151" s="34" t="str" cm="1">
        <f t="array" ref="H151">_xlfn.TEXTJOIN(CHAR(10),0,_xlfn._xlws.FILTER(source!$CA$15:$CA$300,source!$BZ$15:$BZ$300=_xlfn.CONCAT($C151,LEFT(H$15,1),"Y"),""))</f>
        <v/>
      </c>
      <c r="I151" s="193"/>
      <c r="J151" s="757"/>
      <c r="K151" s="670"/>
      <c r="L151" s="670"/>
      <c r="M151" s="758"/>
      <c r="N151">
        <f>IF(I151="",0,VLOOKUP(I151,tech!$A$13:$B$17,2,0))*E151</f>
        <v>0</v>
      </c>
      <c r="O151" t="str">
        <f>IF(D151="","",IF(B151=0,tech!$B$9,IF(AND(B151=1,N151=0),tech!$B$21,I151)))</f>
        <v/>
      </c>
    </row>
    <row r="152" spans="2:15" ht="18.75" hidden="1" x14ac:dyDescent="0.25">
      <c r="B152">
        <f>IF(B$145=0,0,IF(F152=tech!$B$9,0,1))</f>
        <v>1</v>
      </c>
      <c r="C152" s="23" t="s">
        <v>120</v>
      </c>
      <c r="D152" s="38" t="str">
        <f>IFERROR(VLOOKUP(C152,source!$BX$4:$BZ$13,3,0),"")</f>
        <v/>
      </c>
      <c r="E152" s="31">
        <f>IFERROR(VLOOKUP(C152,source!$BX$4:$BZ$13,2,0),0)*B152</f>
        <v>0</v>
      </c>
      <c r="F152" s="12" t="str">
        <f>IF(Scoping!K106=tech!$A$5,tech!$B$9,"")</f>
        <v/>
      </c>
      <c r="G152" s="12" t="str" cm="1">
        <f t="array" ref="G152">_xlfn.TEXTJOIN(CHAR(10),0,_xlfn._xlws.FILTER(source!$CA$15:$CA$300,source!$BZ$15:$BZ$300=_xlfn.CONCAT($C152,LEFT(G$15,1),"Y"),""))</f>
        <v/>
      </c>
      <c r="H152" s="35" t="str" cm="1">
        <f t="array" ref="H152">_xlfn.TEXTJOIN(CHAR(10),0,_xlfn._xlws.FILTER(source!$CA$15:$CA$300,source!$BZ$15:$BZ$300=_xlfn.CONCAT($C152,LEFT(H$15,1),"Y"),""))</f>
        <v/>
      </c>
      <c r="I152" s="194"/>
      <c r="J152" s="653"/>
      <c r="K152" s="654"/>
      <c r="L152" s="654"/>
      <c r="M152" s="752"/>
      <c r="N152">
        <f>IF(I152="",0,VLOOKUP(I152,tech!$A$13:$B$17,2,0))*E152</f>
        <v>0</v>
      </c>
      <c r="O152" t="str">
        <f>IF(D152="","",IF(B152=0,tech!$B$9,IF(AND(B152=1,N152=0),tech!$B$21,I152)))</f>
        <v/>
      </c>
    </row>
    <row r="153" spans="2:15" ht="19.5" hidden="1" thickBot="1" x14ac:dyDescent="0.3">
      <c r="B153">
        <f>IF(B$145=0,0,IF(F153=tech!$B$9,0,1))</f>
        <v>1</v>
      </c>
      <c r="C153" s="24" t="s">
        <v>121</v>
      </c>
      <c r="D153" s="39" t="str">
        <f>IFERROR(VLOOKUP(C153,source!$BX$4:$BZ$13,3,0),"")</f>
        <v/>
      </c>
      <c r="E153" s="32">
        <f>IFERROR(VLOOKUP(C153,source!$BX$4:$BZ$13,2,0),0)*B153</f>
        <v>0</v>
      </c>
      <c r="F153" s="13" t="str">
        <f>IF(Scoping!K107=tech!$A$5,tech!$B$9,"")</f>
        <v/>
      </c>
      <c r="G153" s="13" t="str" cm="1">
        <f t="array" ref="G153">_xlfn.TEXTJOIN(CHAR(10),0,_xlfn._xlws.FILTER(source!$CA$15:$CA$300,source!$BZ$15:$BZ$300=_xlfn.CONCAT($C153,LEFT(G$15,1),"Y"),""))</f>
        <v/>
      </c>
      <c r="H153" s="36" t="str" cm="1">
        <f t="array" ref="H153">_xlfn.TEXTJOIN(CHAR(10),0,_xlfn._xlws.FILTER(source!$CA$15:$CA$300,source!$BZ$15:$BZ$300=_xlfn.CONCAT($C153,LEFT(H$15,1),"Y"),""))</f>
        <v/>
      </c>
      <c r="I153" s="195"/>
      <c r="J153" s="657"/>
      <c r="K153" s="640"/>
      <c r="L153" s="640"/>
      <c r="M153" s="751"/>
      <c r="N153">
        <f>IF(I153="",0,VLOOKUP(I153,tech!$A$13:$B$17,2,0))*E153</f>
        <v>0</v>
      </c>
      <c r="O153" t="str">
        <f>IF(D153="","",IF(B153=0,tech!$B$9,IF(AND(B153=1,N153=0),tech!$B$21,I153)))</f>
        <v/>
      </c>
    </row>
    <row r="154" spans="2:15" x14ac:dyDescent="0.25">
      <c r="C154" s="2"/>
      <c r="D154" s="2"/>
      <c r="E154" s="3"/>
      <c r="F154" s="3"/>
    </row>
    <row r="155" spans="2:15" ht="15.75" thickBot="1" x14ac:dyDescent="0.3">
      <c r="C155" s="2"/>
      <c r="D155" s="2"/>
      <c r="E155" s="3"/>
      <c r="F155" s="3"/>
    </row>
    <row r="156" spans="2:15" ht="15" customHeight="1" x14ac:dyDescent="0.25">
      <c r="C156" s="850" t="s">
        <v>30</v>
      </c>
      <c r="D156" s="851"/>
      <c r="E156" s="851"/>
      <c r="F156" s="851" t="str">
        <f>IF(AND(B161=0,B172=0,B183=0,B194=0),tech!$A$9,"")</f>
        <v/>
      </c>
      <c r="G156" s="851"/>
      <c r="H156" s="851"/>
      <c r="I156" s="851"/>
      <c r="J156" s="851"/>
      <c r="K156" s="851"/>
      <c r="L156" s="851"/>
      <c r="M156" s="856"/>
    </row>
    <row r="157" spans="2:15" ht="15" customHeight="1" x14ac:dyDescent="0.25">
      <c r="C157" s="852"/>
      <c r="D157" s="853"/>
      <c r="E157" s="853"/>
      <c r="F157" s="853"/>
      <c r="G157" s="853"/>
      <c r="H157" s="853"/>
      <c r="I157" s="853"/>
      <c r="J157" s="853"/>
      <c r="K157" s="853"/>
      <c r="L157" s="853"/>
      <c r="M157" s="857"/>
      <c r="N157">
        <f>IF(SUM(E161,E170,E180)=0,0,TRUNC((IF(B161=0,0,SUM(N164:N167)/SUM(E164:E167)*E161)+IF(B170=0,0,SUM(N173:N177)/SUM(E173:E177)*E170)+IF(B180=0,0,SUM(N183:N186)/SUM(E183:E186)*E180))/SUM(E161,E170,E180),0))</f>
        <v>3</v>
      </c>
    </row>
    <row r="158" spans="2:15" ht="15.75" customHeight="1" thickBot="1" x14ac:dyDescent="0.3">
      <c r="C158" s="854"/>
      <c r="D158" s="855"/>
      <c r="E158" s="855"/>
      <c r="F158" s="855"/>
      <c r="G158" s="855"/>
      <c r="H158" s="855"/>
      <c r="I158" s="855"/>
      <c r="J158" s="855"/>
      <c r="K158" s="855"/>
      <c r="L158" s="855"/>
      <c r="M158" s="858"/>
      <c r="N158">
        <f>IF(SUM(E161,E170,E180)=0,0,(IF(B161=0,0,SUM(N164:N167)/SUM(E164:E167)*E161)+IF(B170=0,0,SUM(N173:N177)/SUM(E173:E177)*E170)+IF(B180=0,0,SUM(N183:N186)/SUM(E183:E186)*E180))/SUM(E161,E170,E180))</f>
        <v>3.6761904761904765</v>
      </c>
    </row>
    <row r="159" spans="2:15" ht="15.75" thickBot="1" x14ac:dyDescent="0.3">
      <c r="C159" s="2"/>
      <c r="D159" s="2"/>
      <c r="E159" s="3"/>
      <c r="F159" s="3"/>
    </row>
    <row r="160" spans="2:15" ht="15" customHeight="1" x14ac:dyDescent="0.25">
      <c r="C160" s="848" t="str">
        <f>tech!A129</f>
        <v>4.1. Sourcing</v>
      </c>
      <c r="D160" s="844"/>
      <c r="E160" s="187" t="s">
        <v>1</v>
      </c>
      <c r="F160" s="844" t="str">
        <f>IF(B161=0,tech!$A$9,"")</f>
        <v/>
      </c>
      <c r="G160" s="844"/>
      <c r="H160" s="844"/>
      <c r="I160" s="844"/>
      <c r="J160" s="844"/>
      <c r="K160" s="844"/>
      <c r="L160" s="844"/>
      <c r="M160" s="845"/>
    </row>
    <row r="161" spans="2:15" ht="15" customHeight="1" x14ac:dyDescent="0.25">
      <c r="B161">
        <f>IF(Scoping!F83=tech!$A$5,0,1)</f>
        <v>1</v>
      </c>
      <c r="C161" s="849"/>
      <c r="D161" s="846"/>
      <c r="E161" s="139">
        <f>VLOOKUP(C160,tech!$A$117:$B$131,2,0)*B161</f>
        <v>4</v>
      </c>
      <c r="F161" s="846"/>
      <c r="G161" s="846"/>
      <c r="H161" s="846"/>
      <c r="I161" s="846"/>
      <c r="J161" s="846"/>
      <c r="K161" s="846"/>
      <c r="L161" s="846"/>
      <c r="M161" s="847"/>
      <c r="N161">
        <f>IF(SUM(B164:B169)=0,0,TRUNC(SUM(N164:N169)/SUM(E164:E169),0))</f>
        <v>3</v>
      </c>
    </row>
    <row r="162" spans="2:15" ht="120" customHeight="1" thickBot="1" x14ac:dyDescent="0.3">
      <c r="C162" s="841" t="s">
        <v>15</v>
      </c>
      <c r="D162" s="842"/>
      <c r="E162" s="842"/>
      <c r="F162" s="842"/>
      <c r="G162" s="842"/>
      <c r="H162" s="842"/>
      <c r="I162" s="842"/>
      <c r="J162" s="842"/>
      <c r="K162" s="842"/>
      <c r="L162" s="842"/>
      <c r="M162" s="843"/>
    </row>
    <row r="163" spans="2:15" ht="15.75" thickBot="1" x14ac:dyDescent="0.3">
      <c r="C163" s="7" t="s">
        <v>10</v>
      </c>
      <c r="D163" s="8" t="s">
        <v>9</v>
      </c>
      <c r="E163" s="9" t="s">
        <v>1</v>
      </c>
      <c r="F163" s="10" t="s">
        <v>55</v>
      </c>
      <c r="G163" s="10" t="s">
        <v>7</v>
      </c>
      <c r="H163" s="40" t="s">
        <v>8</v>
      </c>
      <c r="I163" s="200" t="s">
        <v>141</v>
      </c>
      <c r="J163" s="756" t="s">
        <v>11</v>
      </c>
      <c r="K163" s="754"/>
      <c r="L163" s="754" t="s">
        <v>151</v>
      </c>
      <c r="M163" s="755"/>
    </row>
    <row r="164" spans="2:15" ht="90" x14ac:dyDescent="0.25">
      <c r="B164">
        <f>IF(B$161=0,0,IF(F164=tech!$B$9,0,1))</f>
        <v>1</v>
      </c>
      <c r="C164" s="6" t="s">
        <v>122</v>
      </c>
      <c r="D164" s="21" t="str">
        <f>IFERROR(VLOOKUP(C164,source!$CD$4:$CF$13,3,0),"")</f>
        <v>Resources are identified and documented</v>
      </c>
      <c r="E164" s="14">
        <f>IFERROR(VLOOKUP(C164,source!$CD$4:$CF$13,2,0),0)*B164</f>
        <v>5</v>
      </c>
      <c r="F164" s="22" t="str">
        <f>IF(Scoping!K118=tech!$A$5,tech!$B$9,"")</f>
        <v/>
      </c>
      <c r="G164" s="22" t="str" cm="1">
        <f t="array" ref="G164">_xlfn.TEXTJOIN(CHAR(10),0,_xlfn._xlws.FILTER(source!$CG$15:$CG$300,source!$CF$15:$CF$300=_xlfn.CONCAT($C164,LEFT(G$15,1),"Y"),""))</f>
        <v xml:space="preserve">Resources needed for proper management of the PKI are identified and documented. Resources should be aligned with the PKI scope and use-case(s) that should be supported. The main question to answer here is "Do we know what resources we need to manage the PKI?". </v>
      </c>
      <c r="H164" s="34" t="str" cm="1">
        <f t="array" ref="H164">_xlfn.TEXTJOIN(CHAR(10),0,_xlfn._xlws.FILTER(source!$CG$15:$CG$300,source!$CF$15:$CF$300=_xlfn.CONCAT($C164,LEFT(H$15,1),"Y"),""))</f>
        <v>The following is sample evidence that can be used to assess the requirement:
• Resource management process
• Documented requirements on the resources
• Categorization of resources (an example can be people, processes, procedures, tools, technologies)
• Alignment with the scope of the use-case</v>
      </c>
      <c r="I164" s="197" t="s">
        <v>47</v>
      </c>
      <c r="J164" s="663"/>
      <c r="K164" s="664"/>
      <c r="L164" s="664"/>
      <c r="M164" s="753"/>
      <c r="N164">
        <f>IF(I164="",0,VLOOKUP(I164,tech!$A$13:$B$17,2,0))*E164</f>
        <v>5</v>
      </c>
      <c r="O164" t="str">
        <f>IF(B164=0,tech!$B$9,IF(AND(B164=1,N164=0),tech!$B$21,I164))</f>
        <v>Initial</v>
      </c>
    </row>
    <row r="165" spans="2:15" ht="180" x14ac:dyDescent="0.25">
      <c r="B165">
        <f>IF(B$161=0,0,IF(F165=tech!$B$9,0,1))</f>
        <v>1</v>
      </c>
      <c r="C165" s="4" t="s">
        <v>123</v>
      </c>
      <c r="D165" s="18" t="str">
        <f>IFERROR(VLOOKUP(C165,source!$CD$4:$CF$13,3,0),"")</f>
        <v>Resources are clearly defined</v>
      </c>
      <c r="E165" s="15">
        <f>IFERROR(VLOOKUP(C165,source!$CD$4:$CF$13,2,0),0)*B165</f>
        <v>3</v>
      </c>
      <c r="F165" s="12" t="str">
        <f>IF(Scoping!K119=tech!$A$5,tech!$B$9,"")</f>
        <v/>
      </c>
      <c r="G165" s="12" t="str" cm="1">
        <f t="array" ref="G165">_xlfn.TEXTJOIN(CHAR(10),0,_xlfn._xlws.FILTER(source!$CG$15:$CG$300,source!$CF$15:$CF$300=_xlfn.CONCAT($C165,LEFT(G$15,1),"Y"),""))</f>
        <v>Identified resources should be properly defined and specified. The specification depends on the type of the resource and can include for example the following:
• People: required skills to perform the tasks, roles, and responsibilities
• Tools: description, supported technologies
• Technologies: required functionality and performance
• Financial resources: required budget, funding sources
• Management resources: processes and procedures, inputs, outputs
• Other resources: description, specification, requirements
Without clearly defined resources, there could be misuse of the organization’s assets or inconsistent interaction with personnel and other parties, leading to insecure and untrusted implementation of the PKI.</v>
      </c>
      <c r="H165" s="35" t="str" cm="1">
        <f t="array" ref="H165">_xlfn.TEXTJOIN(CHAR(10),0,_xlfn._xlws.FILTER(source!$CG$15:$CG$300,source!$CF$15:$CF$300=_xlfn.CONCAT($C165,LEFT(H$15,1),"Y"),""))</f>
        <v>The following is a sample evidence that can be used to assess the requirement:
• Resource management process
• Documented requirements on the resources
• Categorization of resources (an example can be: people, processes, procedures, tools, technologies)
• Alignment with the scope of the use-case
• Interview personnel in various roles</v>
      </c>
      <c r="I165" s="198" t="s">
        <v>51</v>
      </c>
      <c r="J165" s="653"/>
      <c r="K165" s="654"/>
      <c r="L165" s="654"/>
      <c r="M165" s="752"/>
      <c r="N165">
        <f>IF(I165="",0,VLOOKUP(I165,tech!$A$13:$B$17,2,0))*E165</f>
        <v>15</v>
      </c>
      <c r="O165" t="str">
        <f>IF(B165=0,tech!$B$9,IF(AND(B165=1,N165=0),tech!$B$21,I165))</f>
        <v>Optimized</v>
      </c>
    </row>
    <row r="166" spans="2:15" ht="75" x14ac:dyDescent="0.25">
      <c r="B166">
        <f>IF(B$161=0,0,IF(F166=tech!$B$9,0,1))</f>
        <v>1</v>
      </c>
      <c r="C166" s="4" t="s">
        <v>124</v>
      </c>
      <c r="D166" s="18" t="str">
        <f>IFERROR(VLOOKUP(C166,source!$CD$4:$CF$13,3,0),"")</f>
        <v>Availability of resources</v>
      </c>
      <c r="E166" s="15">
        <f>IFERROR(VLOOKUP(C166,source!$CD$4:$CF$13,2,0),0)*B166</f>
        <v>4</v>
      </c>
      <c r="F166" s="12" t="str">
        <f>IF(Scoping!K120=tech!$A$5,tech!$B$9,"")</f>
        <v/>
      </c>
      <c r="G166" s="12" t="str" cm="1">
        <f t="array" ref="G166">_xlfn.TEXTJOIN(CHAR(10),0,_xlfn._xlws.FILTER(source!$CG$15:$CG$300,source!$CF$15:$CF$300=_xlfn.CONCAT($C166,LEFT(G$15,1),"Y"),""))</f>
        <v>Identified and defined resources should be available at the required capacity. The availability of the resources should be aligned with the overall strategy of the organization and scope of the PKI. The availability of the resources should be controlled to ensure that the resources are available when needed.</v>
      </c>
      <c r="H166" s="35" t="str" cm="1">
        <f t="array" ref="H166">_xlfn.TEXTJOIN(CHAR(10),0,_xlfn._xlws.FILTER(source!$CG$15:$CG$300,source!$CF$15:$CF$300=_xlfn.CONCAT($C166,LEFT(H$15,1),"Y"),""))</f>
        <v>• Review of the Resource management process
• Review of the capacity or demand management process
• Alignment with the strategy of the organization and scope of the PKI
• Review of the assignment of the resources to the tasks
• Utilization and performance of the services</v>
      </c>
      <c r="I166" s="198" t="s">
        <v>51</v>
      </c>
      <c r="J166" s="653"/>
      <c r="K166" s="654"/>
      <c r="L166" s="654"/>
      <c r="M166" s="752"/>
      <c r="N166">
        <f>IF(I166="",0,VLOOKUP(I166,tech!$A$13:$B$17,2,0))*E166</f>
        <v>20</v>
      </c>
      <c r="O166" t="str">
        <f>IF(B166=0,tech!$B$9,IF(AND(B166=1,N166=0),tech!$B$21,I166))</f>
        <v>Optimized</v>
      </c>
    </row>
    <row r="167" spans="2:15" ht="210" customHeight="1" thickBot="1" x14ac:dyDescent="0.3">
      <c r="B167">
        <f>IF(B$161=0,0,IF(F167=tech!$B$9,0,1))</f>
        <v>1</v>
      </c>
      <c r="C167" s="5" t="s">
        <v>125</v>
      </c>
      <c r="D167" s="19" t="str">
        <f>IFERROR(VLOOKUP(C167,source!$CD$4:$CF$13,3,0),"")</f>
        <v>Resources are periodically reviewed</v>
      </c>
      <c r="E167" s="16">
        <f>IFERROR(VLOOKUP(C167,source!$CD$4:$CF$13,2,0),0)*B167</f>
        <v>3</v>
      </c>
      <c r="F167" s="13" t="str">
        <f>IF(Scoping!K121=tech!$A$5,tech!$B$9,"")</f>
        <v/>
      </c>
      <c r="G167" s="13" t="str" cm="1">
        <f t="array" ref="G167">_xlfn.TEXTJOIN(CHAR(10),0,_xlfn._xlws.FILTER(source!$CG$15:$CG$300,source!$CF$15:$CF$300=_xlfn.CONCAT($C167,LEFT(G$15,1),"Y"),""))</f>
        <v>Resource should be periodically reviewed to ensure the accurate use of the resources and secure operations. Frequency of the review depends on the complexity and criticality of the infrastructure. Good practice is to perform reviews at least once a year.
Review includes the following (but not limited to)
• Analysis that the resources continue to match with the scope and capacity required to provide the services
• Review of the specifications of the resources to continue support of the PKI
• Review announcements and technology trends (for example “end of life” plans for a technology)
• Documentation of any remediation plan, updates to sourcing of the PKI, that should be approved by the management</v>
      </c>
      <c r="H167" s="36" t="str" cm="1">
        <f t="array" ref="H167">_xlfn.TEXTJOIN(CHAR(10),0,_xlfn._xlws.FILTER(source!$CG$15:$CG$300,source!$CF$15:$CF$300=_xlfn.CONCAT($C167,LEFT(H$15,1),"Y"),""))</f>
        <v>• Review of changes to the PKI scope
• Review of the capacity or available resources
• Vendor announcements
• technology trends
• skills and knowledge of the personnel</v>
      </c>
      <c r="I167" s="199" t="s">
        <v>51</v>
      </c>
      <c r="J167" s="657"/>
      <c r="K167" s="640"/>
      <c r="L167" s="640"/>
      <c r="M167" s="751"/>
      <c r="N167">
        <f>IF(I167="",0,VLOOKUP(I167,tech!$A$13:$B$17,2,0))*E167</f>
        <v>15</v>
      </c>
      <c r="O167" t="str">
        <f>IF(B167=0,tech!$B$9,IF(AND(B167=1,N167=0),tech!$B$21,I167))</f>
        <v>Optimized</v>
      </c>
    </row>
    <row r="168" spans="2:15" ht="15.75" thickBot="1" x14ac:dyDescent="0.3">
      <c r="C168" s="2"/>
      <c r="D168" s="2"/>
      <c r="E168" s="3"/>
      <c r="F168" s="3"/>
    </row>
    <row r="169" spans="2:15" ht="15" customHeight="1" x14ac:dyDescent="0.25">
      <c r="C169" s="848" t="str">
        <f>tech!A130</f>
        <v>4.2. Knowledge and Training</v>
      </c>
      <c r="D169" s="844"/>
      <c r="E169" s="187" t="s">
        <v>1</v>
      </c>
      <c r="F169" s="844" t="str">
        <f>IF(B170=0,tech!$A$9,"")</f>
        <v/>
      </c>
      <c r="G169" s="844"/>
      <c r="H169" s="844"/>
      <c r="I169" s="844"/>
      <c r="J169" s="844"/>
      <c r="K169" s="844"/>
      <c r="L169" s="844"/>
      <c r="M169" s="845"/>
    </row>
    <row r="170" spans="2:15" ht="15" customHeight="1" x14ac:dyDescent="0.25">
      <c r="B170">
        <f>IF(Scoping!F87=tech!$A$5,0,1)</f>
        <v>1</v>
      </c>
      <c r="C170" s="849"/>
      <c r="D170" s="846"/>
      <c r="E170" s="139">
        <f>VLOOKUP(C169,tech!$A$117:$B$131,2,0)*B170</f>
        <v>3</v>
      </c>
      <c r="F170" s="846"/>
      <c r="G170" s="846"/>
      <c r="H170" s="846"/>
      <c r="I170" s="846"/>
      <c r="J170" s="846"/>
      <c r="K170" s="846"/>
      <c r="L170" s="846"/>
      <c r="M170" s="847"/>
      <c r="N170">
        <f>IF(SUM(B173:B178)=0,0,TRUNC(SUM(N173:N178)/SUM(E173:E178),0))</f>
        <v>4</v>
      </c>
    </row>
    <row r="171" spans="2:15" ht="45" customHeight="1" thickBot="1" x14ac:dyDescent="0.3">
      <c r="C171" s="841" t="s">
        <v>14</v>
      </c>
      <c r="D171" s="842"/>
      <c r="E171" s="842"/>
      <c r="F171" s="842"/>
      <c r="G171" s="842"/>
      <c r="H171" s="842"/>
      <c r="I171" s="842"/>
      <c r="J171" s="842"/>
      <c r="K171" s="842"/>
      <c r="L171" s="842"/>
      <c r="M171" s="843"/>
    </row>
    <row r="172" spans="2:15" ht="15.75" thickBot="1" x14ac:dyDescent="0.3">
      <c r="C172" s="7" t="s">
        <v>10</v>
      </c>
      <c r="D172" s="8" t="s">
        <v>9</v>
      </c>
      <c r="E172" s="9" t="s">
        <v>1</v>
      </c>
      <c r="F172" s="10" t="s">
        <v>55</v>
      </c>
      <c r="G172" s="10" t="s">
        <v>7</v>
      </c>
      <c r="H172" s="40" t="s">
        <v>8</v>
      </c>
      <c r="I172" s="200" t="s">
        <v>141</v>
      </c>
      <c r="J172" s="756" t="s">
        <v>11</v>
      </c>
      <c r="K172" s="754"/>
      <c r="L172" s="754" t="s">
        <v>151</v>
      </c>
      <c r="M172" s="755"/>
    </row>
    <row r="173" spans="2:15" ht="330" customHeight="1" x14ac:dyDescent="0.25">
      <c r="B173">
        <f>IF(B$170=0,0,IF(F173=tech!$B$9,0,1))</f>
        <v>1</v>
      </c>
      <c r="C173" s="6" t="s">
        <v>126</v>
      </c>
      <c r="D173" s="17" t="str">
        <f>IFERROR(VLOOKUP(C173,source!$CJ$4:$CL$13,3,0),"")</f>
        <v>Establish training plan</v>
      </c>
      <c r="E173" s="14">
        <f>IFERROR(VLOOKUP(C173,source!$CJ$4:$CL$13,2,0),0)*B173</f>
        <v>2</v>
      </c>
      <c r="F173" s="11" t="str">
        <f>IF(Scoping!K127=tech!$A$5,tech!$B$9,"")</f>
        <v/>
      </c>
      <c r="G173" s="22" t="str" cm="1">
        <f t="array" ref="G173">_xlfn.TEXTJOIN(CHAR(10),0,_xlfn._xlws.FILTER(source!$CM$15:$CM$300,source!$CL$15:$CL$300=_xlfn.CONCAT($C173,LEFT(G$15,1),"Y"),""))</f>
        <v>The training plan should be established and maintained to ensure that personnel have the required knowledge and skills to perform their duties and responsibilities. It should reflect the current state of the PKI implementation and be updated when the PKI implementation changes, and provide necessary information for all personnel that are involved in the PKI implementation.
Training plan is built with PKI needs and requirements in mind and should cover:
• Training Prerequisites
• Training matrix (who needs to be trained and what Training should be received)
• Training schedule
• Training format and methods
• requirements on Training reports and records
• Training plan Review and update
There can be different methods of training, depending on the needs and requirements:
• Instructor-led Training
• internal or external webinars
• Coaching
• Self-paced Training
• Online resources
• Shadowing or reverse-Shadowing</v>
      </c>
      <c r="H173" s="34" t="str" cm="1">
        <f t="array" ref="H173">_xlfn.TEXTJOIN(CHAR(10),0,_xlfn._xlws.FILTER(source!$CM$15:$CM$300,source!$CL$15:$CL$300=_xlfn.CONCAT($C173,LEFT(H$15,1),"Y"),""))</f>
        <v>• Documented Training plan
• Training plan is up-to-Date
• Training plan is approved and communicated to all personnel
• Training plan is integrated in organization</v>
      </c>
      <c r="I173" s="197" t="s">
        <v>50</v>
      </c>
      <c r="J173" s="663"/>
      <c r="K173" s="664"/>
      <c r="L173" s="664"/>
      <c r="M173" s="753"/>
      <c r="N173">
        <f>IF(I173="",0,VLOOKUP(I173,tech!$A$13:$B$17,2,0))*E173</f>
        <v>8</v>
      </c>
      <c r="O173" t="str">
        <f>IF(B173=0,tech!$B$9,IF(AND(B173=1,N173=0),tech!$B$21,I173))</f>
        <v>Managed</v>
      </c>
    </row>
    <row r="174" spans="2:15" ht="240" customHeight="1" x14ac:dyDescent="0.25">
      <c r="B174">
        <f>IF(B$170=0,0,IF(F174=tech!$B$9,0,1))</f>
        <v>1</v>
      </c>
      <c r="C174" s="4" t="s">
        <v>127</v>
      </c>
      <c r="D174" s="18" t="str">
        <f>IFERROR(VLOOKUP(C174,source!$CJ$4:$CL$13,3,0),"")</f>
        <v>Responsible personnel receive training</v>
      </c>
      <c r="E174" s="15">
        <f>IFERROR(VLOOKUP(C174,source!$CJ$4:$CL$13,2,0),0)*B174</f>
        <v>2</v>
      </c>
      <c r="F174" s="12" t="str">
        <f>IF(Scoping!K128=tech!$A$5,tech!$B$9,"")</f>
        <v/>
      </c>
      <c r="G174" s="12" t="str" cm="1">
        <f t="array" ref="G174">_xlfn.TEXTJOIN(CHAR(10),0,_xlfn._xlws.FILTER(source!$CM$15:$CM$300,source!$CL$15:$CL$300=_xlfn.CONCAT($C174,LEFT(G$15,1),"Y"),""))</f>
        <v>The responsible personnel should be aware of the current policies and procedures that are related to the context of the PKI implementation. Training should be provided to personnel that are responsible for the management, operation, and administration of the PKI.
Training is provided in accordance with the current and approved training plan.
Methods and training content can vary, depending on personnel roles and covers:
• New hires as part of the Onboarding process
• Periodic Training for all personnel (the frequency of the Training depends on the Role and responsibilities)
For each training, attendance should be recorded and documented, and in case the training is not completed, the reason should be documented.
In case there are requirements for score or threshold to be achieved, the results should be documented.</v>
      </c>
      <c r="H174" s="35" t="str" cm="1">
        <f t="array" ref="H174">_xlfn.TEXTJOIN(CHAR(10),0,_xlfn._xlws.FILTER(source!$CM$15:$CM$300,source!$CL$15:$CL$300=_xlfn.CONCAT($C174,LEFT(H$15,1),"Y"),""))</f>
        <v>• Review Training matrix
• Review Documented Training Results
• Review Training records
• Relevancy of the Training content
• Training is provided in accordance with the Training plan
• Training Completeness</v>
      </c>
      <c r="I174" s="198" t="s">
        <v>50</v>
      </c>
      <c r="J174" s="653"/>
      <c r="K174" s="654"/>
      <c r="L174" s="654"/>
      <c r="M174" s="752"/>
      <c r="N174">
        <f>IF(I174="",0,VLOOKUP(I174,tech!$A$13:$B$17,2,0))*E174</f>
        <v>8</v>
      </c>
      <c r="O174" t="str">
        <f>IF(B174=0,tech!$B$9,IF(AND(B174=1,N174=0),tech!$B$21,I174))</f>
        <v>Managed</v>
      </c>
    </row>
    <row r="175" spans="2:15" ht="210" customHeight="1" x14ac:dyDescent="0.25">
      <c r="B175">
        <f>IF(B$170=0,0,IF(F175=tech!$B$9,0,1))</f>
        <v>1</v>
      </c>
      <c r="C175" s="4" t="s">
        <v>128</v>
      </c>
      <c r="D175" s="18" t="str">
        <f>IFERROR(VLOOKUP(C175,source!$CJ$4:$CL$13,3,0),"")</f>
        <v>Perform security awareness training</v>
      </c>
      <c r="E175" s="15">
        <f>IFERROR(VLOOKUP(C175,source!$CJ$4:$CL$13,2,0),0)*B175</f>
        <v>2</v>
      </c>
      <c r="F175" s="12" t="str">
        <f>IF(Scoping!K129=tech!$A$5,tech!$B$9,"")</f>
        <v/>
      </c>
      <c r="G175" s="12" t="str" cm="1">
        <f t="array" ref="G175">_xlfn.TEXTJOIN(CHAR(10),0,_xlfn._xlws.FILTER(source!$CM$15:$CM$300,source!$CL$15:$CL$300=_xlfn.CONCAT($C175,LEFT(G$15,1),"Y"),""))</f>
        <v>Security awareness education is an ongoing activity. The security awareness program is implemented to make all personnel aware of their role in protecting the security and establishing trust by the PKI implementation. It should stay up to date to reflect latest security trends, threats, and challenges.
Security awareness should ensure that personnel are knowledgeable about the threat landscape, their responsibility for the operation of relevant security controls, and are able to access assistance and guidance when required.
Different methods can be applied to provide security awareness, for example:
• Posters and letters with the specific topic
• team meetings and webinars
• Security incentives and rewards
• Training and education</v>
      </c>
      <c r="H175" s="35" t="str" cm="1">
        <f t="array" ref="H175">_xlfn.TEXTJOIN(CHAR(10),0,_xlfn._xlws.FILTER(source!$CM$15:$CM$300,source!$CL$15:$CL$300=_xlfn.CONCAT($C175,LEFT(H$15,1),"Y"),""))</f>
        <v>• Examine Security awareness program
• Interview personnel to verify that they are aware of their responsibilities
• Review Security awareness Training records
• Security awareness Training is provided in accordance with the Training plan
• Review content of the Security awareness Training</v>
      </c>
      <c r="I175" s="198" t="s">
        <v>51</v>
      </c>
      <c r="J175" s="653"/>
      <c r="K175" s="654"/>
      <c r="L175" s="654"/>
      <c r="M175" s="752"/>
      <c r="N175">
        <f>IF(I175="",0,VLOOKUP(I175,tech!$A$13:$B$17,2,0))*E175</f>
        <v>10</v>
      </c>
      <c r="O175" t="str">
        <f>IF(B175=0,tech!$B$9,IF(AND(B175=1,N175=0),tech!$B$21,I175))</f>
        <v>Optimized</v>
      </c>
    </row>
    <row r="176" spans="2:15" ht="255" customHeight="1" x14ac:dyDescent="0.25">
      <c r="B176">
        <f>IF(B$170=0,0,IF(F176=tech!$B$9,0,1))</f>
        <v>1</v>
      </c>
      <c r="C176" s="4" t="s">
        <v>129</v>
      </c>
      <c r="D176" s="18" t="str">
        <f>IFERROR(VLOOKUP(C176,source!$CJ$4:$CL$13,3,0),"")</f>
        <v>Establish education plan</v>
      </c>
      <c r="E176" s="15">
        <f>IFERROR(VLOOKUP(C176,source!$CJ$4:$CL$13,2,0),0)*B176</f>
        <v>1</v>
      </c>
      <c r="F176" s="12" t="str">
        <f>IF(Scoping!K130=tech!$A$5,tech!$B$9,"")</f>
        <v/>
      </c>
      <c r="G176" s="12" t="str" cm="1">
        <f t="array" ref="G176">_xlfn.TEXTJOIN(CHAR(10),0,_xlfn._xlws.FILTER(source!$CM$15:$CM$300,source!$CL$15:$CL$300=_xlfn.CONCAT($C176,LEFT(G$15,1),"Y"),""))</f>
        <v>Proper education plan is required to stay up to date with the development of the latest technologies, security practices, and controls that have impact on the PKI and its future development. 
The education plan should establish a robust base for the personnel to gain relevant knowledge that are out of scope of the internal training plan, but should be aligned with it to ensure that the personnel are able to perform their duties and responsibilities. The education plan should cover:
• education requirements and Prerequisites
• Recommended education Approach and methods
• Approach to Monitor and assess the education Results
Methods to provide education can vary:
• internal or external courses
• incentives and rewards
• Mentoring, coaching, and shadowing
• Competitions and challenges</v>
      </c>
      <c r="H176" s="35" t="str" cm="1">
        <f t="array" ref="H176">_xlfn.TEXTJOIN(CHAR(10),0,_xlfn._xlws.FILTER(source!$CM$15:$CM$300,source!$CL$15:$CL$300=_xlfn.CONCAT($C176,LEFT(H$15,1),"Y"),""))</f>
        <v>• Review education plan and its Alignment with the Training plan
• Interview personnel to verify their educational goals
• Validate education records</v>
      </c>
      <c r="I176" s="198" t="s">
        <v>50</v>
      </c>
      <c r="J176" s="653"/>
      <c r="K176" s="654"/>
      <c r="L176" s="654"/>
      <c r="M176" s="752"/>
      <c r="N176">
        <f>IF(I176="",0,VLOOKUP(I176,tech!$A$13:$B$17,2,0))*E176</f>
        <v>4</v>
      </c>
      <c r="O176" t="str">
        <f>IF(B176=0,tech!$B$9,IF(AND(B176=1,N176=0),tech!$B$21,I176))</f>
        <v>Managed</v>
      </c>
    </row>
    <row r="177" spans="2:15" ht="105" customHeight="1" thickBot="1" x14ac:dyDescent="0.3">
      <c r="B177">
        <f>IF(B$170=0,0,IF(F177=tech!$B$9,0,1))</f>
        <v>1</v>
      </c>
      <c r="C177" s="5" t="s">
        <v>130</v>
      </c>
      <c r="D177" s="19" t="str">
        <f>IFERROR(VLOOKUP(C177,source!$CJ$4:$CL$13,3,0),"")</f>
        <v>Periodically review knowledge</v>
      </c>
      <c r="E177" s="16">
        <f>IFERROR(VLOOKUP(C177,source!$CJ$4:$CL$13,2,0),0)*B177</f>
        <v>2</v>
      </c>
      <c r="F177" s="13" t="str">
        <f>IF(Scoping!K131=tech!$A$5,tech!$B$9,"")</f>
        <v/>
      </c>
      <c r="G177" s="13" t="str" cm="1">
        <f t="array" ref="G177">_xlfn.TEXTJOIN(CHAR(10),0,_xlfn._xlws.FILTER(source!$CM$15:$CM$300,source!$CL$15:$CL$300=_xlfn.CONCAT($C177,LEFT(G$15,1),"Y"),""))</f>
        <v>The training plan should be reviewed and updated periodically to ensure that it is up-to-date and covers all aspects of the specific PKI implementation.
Periodical review of the training plans helps to maintain required skills and knowledge for the responsible personnel.
It provides assurance that the expected controls are active and working as intended.</v>
      </c>
      <c r="H177" s="36" t="str" cm="1">
        <f t="array" ref="H177">_xlfn.TEXTJOIN(CHAR(10),0,_xlfn._xlws.FILTER(source!$CM$15:$CM$300,source!$CL$15:$CL$300=_xlfn.CONCAT($C177,LEFT(H$15,1),"Y"),""))</f>
        <v>• Training plan Review process
• implementation of Review process
• Validation of documentation and reviews</v>
      </c>
      <c r="I177" s="199" t="s">
        <v>50</v>
      </c>
      <c r="J177" s="657"/>
      <c r="K177" s="640"/>
      <c r="L177" s="640"/>
      <c r="M177" s="751"/>
      <c r="N177">
        <f>IF(I177="",0,VLOOKUP(I177,tech!$A$13:$B$17,2,0))*E177</f>
        <v>8</v>
      </c>
      <c r="O177" t="str">
        <f>IF(B177=0,tech!$B$9,IF(AND(B177=1,N177=0),tech!$B$21,I177))</f>
        <v>Managed</v>
      </c>
    </row>
    <row r="178" spans="2:15" ht="15.75" thickBot="1" x14ac:dyDescent="0.3">
      <c r="C178" s="2"/>
      <c r="D178" s="2"/>
      <c r="E178" s="3"/>
      <c r="F178" s="3"/>
    </row>
    <row r="179" spans="2:15" ht="15" customHeight="1" x14ac:dyDescent="0.25">
      <c r="C179" s="848" t="str">
        <f>tech!A131</f>
        <v>4.3. Awareness</v>
      </c>
      <c r="D179" s="844"/>
      <c r="E179" s="187" t="s">
        <v>1</v>
      </c>
      <c r="F179" s="844" t="str">
        <f>IF(B180=0,tech!$A$9,"")</f>
        <v/>
      </c>
      <c r="G179" s="844"/>
      <c r="H179" s="844"/>
      <c r="I179" s="844"/>
      <c r="J179" s="844"/>
      <c r="K179" s="844"/>
      <c r="L179" s="844"/>
      <c r="M179" s="845"/>
    </row>
    <row r="180" spans="2:15" ht="15" customHeight="1" x14ac:dyDescent="0.25">
      <c r="B180">
        <f>IF(Scoping!F92=tech!$A$5,0,1)</f>
        <v>1</v>
      </c>
      <c r="C180" s="849"/>
      <c r="D180" s="846"/>
      <c r="E180" s="139">
        <f>VLOOKUP(C179,tech!$A$117:$B$131,2,0)*B180</f>
        <v>3</v>
      </c>
      <c r="F180" s="846"/>
      <c r="G180" s="846"/>
      <c r="H180" s="846"/>
      <c r="I180" s="846"/>
      <c r="J180" s="846"/>
      <c r="K180" s="846"/>
      <c r="L180" s="846"/>
      <c r="M180" s="847"/>
      <c r="N180">
        <f>IF(SUM(B183:B188)=0,0,TRUNC(SUM(N183:N188)/SUM(E183:E188),0))</f>
        <v>3</v>
      </c>
    </row>
    <row r="181" spans="2:15" ht="30" customHeight="1" thickBot="1" x14ac:dyDescent="0.3">
      <c r="C181" s="841" t="s">
        <v>13</v>
      </c>
      <c r="D181" s="842"/>
      <c r="E181" s="842"/>
      <c r="F181" s="842"/>
      <c r="G181" s="842"/>
      <c r="H181" s="842"/>
      <c r="I181" s="842"/>
      <c r="J181" s="842"/>
      <c r="K181" s="842"/>
      <c r="L181" s="842"/>
      <c r="M181" s="843"/>
    </row>
    <row r="182" spans="2:15" ht="15.75" thickBot="1" x14ac:dyDescent="0.3">
      <c r="C182" s="7" t="s">
        <v>10</v>
      </c>
      <c r="D182" s="8" t="s">
        <v>9</v>
      </c>
      <c r="E182" s="9" t="s">
        <v>1</v>
      </c>
      <c r="F182" s="10" t="s">
        <v>55</v>
      </c>
      <c r="G182" s="10" t="s">
        <v>7</v>
      </c>
      <c r="H182" s="40" t="s">
        <v>8</v>
      </c>
      <c r="I182" s="200" t="s">
        <v>141</v>
      </c>
      <c r="J182" s="756" t="s">
        <v>11</v>
      </c>
      <c r="K182" s="754"/>
      <c r="L182" s="754" t="s">
        <v>151</v>
      </c>
      <c r="M182" s="755"/>
    </row>
    <row r="183" spans="2:15" ht="195" customHeight="1" x14ac:dyDescent="0.25">
      <c r="B183">
        <f>IF(B$180=0,0,IF(F183=tech!$B$9,0,1))</f>
        <v>1</v>
      </c>
      <c r="C183" s="6" t="s">
        <v>131</v>
      </c>
      <c r="D183" s="17" t="str">
        <f>IFERROR(VLOOKUP(C183,source!$CP$4:$CR$13,3,0),"")</f>
        <v>Establish and maintain awareness plan</v>
      </c>
      <c r="E183" s="14">
        <f>IFERROR(VLOOKUP(C183,source!$CP$4:$CR$13,2,0),0)*B183</f>
        <v>2</v>
      </c>
      <c r="F183" s="11" t="str">
        <f>IF(Scoping!K137=tech!$A$5,tech!$B$9,"")</f>
        <v/>
      </c>
      <c r="G183" s="22" t="str" cm="1">
        <f t="array" ref="G183">_xlfn.TEXTJOIN(CHAR(10),0,_xlfn._xlws.FILTER(source!$CS$15:$CS$300,source!$CR$15:$CR$300=_xlfn.CONCAT($C183,LEFT(G$15,1),"Y"),""))</f>
        <v>Awareness plan should be established and maintained to ensure that the PKI participants are aware of all relevant events related to the PKI implementation and its purpose in the organization and outside. It should cover at lease the following information:
• How the organization discloses information to PKI participants
• Contact information
• How are changes communicated
• Who is responsible for accurate awareness
• Resolving communication issues and incidents
Every PKI participant should receive information and relevant resource in a timely manner according to the awareness plan.</v>
      </c>
      <c r="H183" s="34" t="str" cm="1">
        <f t="array" ref="H183">_xlfn.TEXTJOIN(CHAR(10),0,_xlfn._xlws.FILTER(source!$CS$15:$CS$300,source!$CR$15:$CR$300=_xlfn.CONCAT($C183,LEFT(H$15,1),"Y"),""))</f>
        <v>• Documented awareness plan
• awareness plan is up-to-date
• Review awareness content to ensure that it is contains relevant information
• awareness plan is approved and communicated to all PKI participants
• awareness plan is integrated in the organization</v>
      </c>
      <c r="I183" s="197" t="s">
        <v>48</v>
      </c>
      <c r="J183" s="663"/>
      <c r="K183" s="664"/>
      <c r="L183" s="664"/>
      <c r="M183" s="753"/>
      <c r="N183">
        <f>IF(I183="",0,VLOOKUP(I183,tech!$A$13:$B$17,2,0))*E183</f>
        <v>4</v>
      </c>
      <c r="O183" t="str">
        <f>IF(B183=0,tech!$B$9,IF(AND(B183=1,N183=0),tech!$B$21,I183))</f>
        <v>Basic</v>
      </c>
    </row>
    <row r="184" spans="2:15" ht="330" customHeight="1" x14ac:dyDescent="0.25">
      <c r="B184">
        <f>IF(B$180=0,0,IF(F184=tech!$B$9,0,1))</f>
        <v>1</v>
      </c>
      <c r="C184" s="4" t="s">
        <v>132</v>
      </c>
      <c r="D184" s="18" t="str">
        <f>IFERROR(VLOOKUP(C184,source!$CP$4:$CR$13,3,0),"")</f>
        <v>Disclose PKI information</v>
      </c>
      <c r="E184" s="15">
        <f>IFERROR(VLOOKUP(C184,source!$CP$4:$CR$13,2,0),0)*B184</f>
        <v>2</v>
      </c>
      <c r="F184" s="12" t="str">
        <f>IF(Scoping!K138=tech!$A$5,tech!$B$9,"")</f>
        <v/>
      </c>
      <c r="G184" s="12" t="str" cm="1">
        <f t="array" ref="G184">_xlfn.TEXTJOIN(CHAR(10),0,_xlfn._xlws.FILTER(source!$CS$15:$CS$300,source!$CR$15:$CR$300=_xlfn.CONCAT($C184,LEFT(G$15,1),"Y"),""))</f>
        <v>Information about the policies, processes, and procedures that are maintained by the PKI should be disclosed to the PKI participants. This information should be available on a timely basis and in a form that is understandable to the PKI participants.
Organization maintaining the PKI implementation should disclose the following information on a website or other appropriate media that can be reached by the PKI participants:
• Certificate Policy
• Certification Practice Statement
• Revocation information
• Valid CA certificates
• Vulnerability reports
• Audit reports
• Contact information
• Obligations of the PKI participants
• Legal liability of the PKI participants
• Warranty information
• Disclaimer information
• Privacy and data protection information
• Other relevant information</v>
      </c>
      <c r="H184" s="35" t="str" cm="1">
        <f t="array" ref="H184">_xlfn.TEXTJOIN(CHAR(10),0,_xlfn._xlws.FILTER(source!$CS$15:$CS$300,source!$CR$15:$CR$300=_xlfn.CONCAT($C184,LEFT(H$15,1),"Y"),""))</f>
        <v>• Review disclosure Statement content to ensure that it is contains relevant information
• disclosure Statement is approved and communicated to all PKI participants
• information is available to all PKI participants
• information is up-to-date</v>
      </c>
      <c r="I184" s="198" t="s">
        <v>50</v>
      </c>
      <c r="J184" s="653"/>
      <c r="K184" s="654"/>
      <c r="L184" s="654"/>
      <c r="M184" s="752"/>
      <c r="N184">
        <f>IF(I184="",0,VLOOKUP(I184,tech!$A$13:$B$17,2,0))*E184</f>
        <v>8</v>
      </c>
      <c r="O184" t="str">
        <f>IF(B184=0,tech!$B$9,IF(AND(B184=1,N184=0),tech!$B$21,I184))</f>
        <v>Managed</v>
      </c>
    </row>
    <row r="185" spans="2:15" ht="195" customHeight="1" x14ac:dyDescent="0.25">
      <c r="B185">
        <f>IF(B$180=0,0,IF(F185=tech!$B$9,0,1))</f>
        <v>1</v>
      </c>
      <c r="C185" s="4" t="s">
        <v>133</v>
      </c>
      <c r="D185" s="18" t="str">
        <f>IFERROR(VLOOKUP(C185,source!$CP$4:$CR$13,3,0),"")</f>
        <v>Establish single point of contact</v>
      </c>
      <c r="E185" s="15">
        <f>IFERROR(VLOOKUP(C185,source!$CP$4:$CR$13,2,0),0)*B185</f>
        <v>1</v>
      </c>
      <c r="F185" s="12" t="str">
        <f>IF(Scoping!K139=tech!$A$5,tech!$B$9,"")</f>
        <v/>
      </c>
      <c r="G185" s="12" t="str" cm="1">
        <f t="array" ref="G185">_xlfn.TEXTJOIN(CHAR(10),0,_xlfn._xlws.FILTER(source!$CS$15:$CS$300,source!$CR$15:$CR$300=_xlfn.CONCAT($C185,LEFT(G$15,1),"Y"),""))</f>
        <v>The single point of contact (SPOC) provides a convenient way for any PKI participant to contact the organization and responsible personnel of the PKI implementation. The single point of contact should be available 24/7 and should be able to provide relevant information and trigger appropriate procedures if needed based on the situation.
Contact information for the SPOC should be disclosed to all PKI participants.
The SPOC may be reached through different communication channels, such as:
• Email
• Phone
• Web site form
• Other</v>
      </c>
      <c r="H185" s="35" t="str" cm="1">
        <f t="array" ref="H185">_xlfn.TEXTJOIN(CHAR(10),0,_xlfn._xlws.FILTER(source!$CS$15:$CS$300,source!$CR$15:$CR$300=_xlfn.CONCAT($C185,LEFT(H$15,1),"Y"),""))</f>
        <v>• Contact SPOC to ensure that it is available and responds in a timely manner
• Review that the SPOC communicates according to the awareness plan
• Review that the SPOC is able to provide relevant information and trigger appropriate procedures if needed based on the situation</v>
      </c>
      <c r="I185" s="198" t="s">
        <v>50</v>
      </c>
      <c r="J185" s="653"/>
      <c r="K185" s="654"/>
      <c r="L185" s="654"/>
      <c r="M185" s="752"/>
      <c r="N185">
        <f>IF(I185="",0,VLOOKUP(I185,tech!$A$13:$B$17,2,0))*E185</f>
        <v>4</v>
      </c>
      <c r="O185" t="str">
        <f>IF(B185=0,tech!$B$9,IF(AND(B185=1,N185=0),tech!$B$21,I185))</f>
        <v>Managed</v>
      </c>
    </row>
    <row r="186" spans="2:15" ht="172.5" customHeight="1" thickBot="1" x14ac:dyDescent="0.3">
      <c r="B186">
        <f>IF(B$180=0,0,IF(F186=tech!$B$9,0,1))</f>
        <v>1</v>
      </c>
      <c r="C186" s="5" t="s">
        <v>134</v>
      </c>
      <c r="D186" s="20" t="str">
        <f>IFERROR(VLOOKUP(C186,source!$CP$4:$CR$13,3,0),"")</f>
        <v>Timely communication of important information</v>
      </c>
      <c r="E186" s="16">
        <f>IFERROR(VLOOKUP(C186,source!$CP$4:$CR$13,2,0),0)*B186</f>
        <v>2</v>
      </c>
      <c r="F186" s="13" t="str">
        <f>IF(Scoping!K140=tech!$A$5,tech!$B$9,"")</f>
        <v/>
      </c>
      <c r="G186" s="13" t="str" cm="1">
        <f t="array" ref="G186">_xlfn.TEXTJOIN(CHAR(10),0,_xlfn._xlws.FILTER(source!$CS$15:$CS$300,source!$CR$15:$CR$300=_xlfn.CONCAT($C186,LEFT(G$15,1),"Y"),""))</f>
        <v>In the event of an incident with high impact to the security and established trust of the PKI implementation, the organization should communicate the information to the PKI participants in a timely manner to avoid increased escalation of the event and inform participants of further actions that may be required to execute.
Example of events that require timely communication may be:
• Compromise of the private key
• changes in the Certificate Policy
• changes in the Certification Practice Statement
• Security breach
• Other events that may require immediate action by the PKI participants</v>
      </c>
      <c r="H186" s="36" t="str" cm="1">
        <f t="array" ref="H186">_xlfn.TEXTJOIN(CHAR(10),0,_xlfn._xlws.FILTER(source!$CS$15:$CS$300,source!$CR$15:$CR$300=_xlfn.CONCAT($C186,LEFT(H$15,1),"Y"),""))</f>
        <v>• Documented procedures to timely inform PKI participants about high impact events
• Review that the procedures are followed
• Interview personnel to ensure that they are aware of the procedures and know How to communicate the information</v>
      </c>
      <c r="I186" s="199" t="s">
        <v>49</v>
      </c>
      <c r="J186" s="657"/>
      <c r="K186" s="640"/>
      <c r="L186" s="640"/>
      <c r="M186" s="751"/>
      <c r="N186">
        <f>IF(I186="",0,VLOOKUP(I186,tech!$A$13:$B$17,2,0))*E186</f>
        <v>6</v>
      </c>
      <c r="O186" t="str">
        <f>IF(B186=0,tech!$B$9,IF(AND(B186=1,N186=0),tech!$B$21,I186))</f>
        <v>Advanced</v>
      </c>
    </row>
  </sheetData>
  <protectedRanges>
    <protectedRange sqref="I164:M167 I173:M177 I183:M186" name="Module 4"/>
    <protectedRange sqref="I115:M120 I126:M128 I137:M142 I148:M150" name="Module 3"/>
    <protectedRange sqref="I65:M70 I76:M82 I88:M92 I99:M103" name="Module 2"/>
    <protectedRange sqref="I16:M19 I27:M31 I38:M41 I49:M53" name="Module 1"/>
  </protectedRanges>
  <mergeCells count="258">
    <mergeCell ref="F8:M10"/>
    <mergeCell ref="C25:M25"/>
    <mergeCell ref="F23:M24"/>
    <mergeCell ref="D2:D5"/>
    <mergeCell ref="G2:G4"/>
    <mergeCell ref="C181:M181"/>
    <mergeCell ref="F179:M180"/>
    <mergeCell ref="F144:M145"/>
    <mergeCell ref="C135:M135"/>
    <mergeCell ref="F133:M134"/>
    <mergeCell ref="C179:D180"/>
    <mergeCell ref="C169:D170"/>
    <mergeCell ref="C160:D161"/>
    <mergeCell ref="C156:E158"/>
    <mergeCell ref="C146:M146"/>
    <mergeCell ref="C171:M171"/>
    <mergeCell ref="F169:M170"/>
    <mergeCell ref="C162:M162"/>
    <mergeCell ref="F160:M161"/>
    <mergeCell ref="F156:M158"/>
    <mergeCell ref="C8:E10"/>
    <mergeCell ref="C57:E59"/>
    <mergeCell ref="C107:E109"/>
    <mergeCell ref="J17:K17"/>
    <mergeCell ref="C47:M47"/>
    <mergeCell ref="F45:M46"/>
    <mergeCell ref="C36:M36"/>
    <mergeCell ref="F34:M35"/>
    <mergeCell ref="L29:M29"/>
    <mergeCell ref="L30:M30"/>
    <mergeCell ref="L31:M31"/>
    <mergeCell ref="C14:M14"/>
    <mergeCell ref="F12:M13"/>
    <mergeCell ref="J38:K38"/>
    <mergeCell ref="L38:M38"/>
    <mergeCell ref="L19:M19"/>
    <mergeCell ref="L18:M18"/>
    <mergeCell ref="L17:M17"/>
    <mergeCell ref="L16:M16"/>
    <mergeCell ref="L26:M26"/>
    <mergeCell ref="L27:M27"/>
    <mergeCell ref="L28:M28"/>
    <mergeCell ref="J16:K16"/>
    <mergeCell ref="L21:M21"/>
    <mergeCell ref="L20:M20"/>
    <mergeCell ref="C61:D62"/>
    <mergeCell ref="C45:D46"/>
    <mergeCell ref="C34:D35"/>
    <mergeCell ref="C23:D24"/>
    <mergeCell ref="C12:D13"/>
    <mergeCell ref="J15:K15"/>
    <mergeCell ref="L15:M15"/>
    <mergeCell ref="J21:K21"/>
    <mergeCell ref="J20:K20"/>
    <mergeCell ref="J19:K19"/>
    <mergeCell ref="J18:K18"/>
    <mergeCell ref="L32:M32"/>
    <mergeCell ref="J26:K26"/>
    <mergeCell ref="J27:K27"/>
    <mergeCell ref="J28:K28"/>
    <mergeCell ref="J29:K29"/>
    <mergeCell ref="J30:K30"/>
    <mergeCell ref="F61:M62"/>
    <mergeCell ref="F57:M59"/>
    <mergeCell ref="L41:M41"/>
    <mergeCell ref="J31:K31"/>
    <mergeCell ref="J32:K32"/>
    <mergeCell ref="J37:K37"/>
    <mergeCell ref="L37:M37"/>
    <mergeCell ref="C122:D123"/>
    <mergeCell ref="C144:D145"/>
    <mergeCell ref="C133:D134"/>
    <mergeCell ref="C74:M74"/>
    <mergeCell ref="F72:M73"/>
    <mergeCell ref="C124:M124"/>
    <mergeCell ref="F122:M123"/>
    <mergeCell ref="C63:M63"/>
    <mergeCell ref="C113:M113"/>
    <mergeCell ref="F111:M112"/>
    <mergeCell ref="F107:M109"/>
    <mergeCell ref="C111:D112"/>
    <mergeCell ref="C95:D96"/>
    <mergeCell ref="C84:D85"/>
    <mergeCell ref="C72:D73"/>
    <mergeCell ref="C97:M97"/>
    <mergeCell ref="F95:M96"/>
    <mergeCell ref="C86:M86"/>
    <mergeCell ref="F84:M85"/>
    <mergeCell ref="J64:K64"/>
    <mergeCell ref="L64:M64"/>
    <mergeCell ref="L70:M70"/>
    <mergeCell ref="L69:M69"/>
    <mergeCell ref="L68:M68"/>
    <mergeCell ref="I2:M3"/>
    <mergeCell ref="J52:K52"/>
    <mergeCell ref="L52:M52"/>
    <mergeCell ref="J53:K53"/>
    <mergeCell ref="L53:M53"/>
    <mergeCell ref="J54:K54"/>
    <mergeCell ref="L54:M54"/>
    <mergeCell ref="J49:K49"/>
    <mergeCell ref="L49:M49"/>
    <mergeCell ref="J50:K50"/>
    <mergeCell ref="L50:M50"/>
    <mergeCell ref="J51:K51"/>
    <mergeCell ref="L51:M51"/>
    <mergeCell ref="J42:K42"/>
    <mergeCell ref="L42:M42"/>
    <mergeCell ref="J43:K43"/>
    <mergeCell ref="L43:M43"/>
    <mergeCell ref="J48:K48"/>
    <mergeCell ref="L48:M48"/>
    <mergeCell ref="J39:K39"/>
    <mergeCell ref="L39:M39"/>
    <mergeCell ref="J40:K40"/>
    <mergeCell ref="L40:M40"/>
    <mergeCell ref="J41:K41"/>
    <mergeCell ref="L67:M67"/>
    <mergeCell ref="L66:M66"/>
    <mergeCell ref="L65:M65"/>
    <mergeCell ref="J70:K70"/>
    <mergeCell ref="J69:K69"/>
    <mergeCell ref="J68:K68"/>
    <mergeCell ref="J67:K67"/>
    <mergeCell ref="J66:K66"/>
    <mergeCell ref="J65:K65"/>
    <mergeCell ref="J75:K75"/>
    <mergeCell ref="L75:M75"/>
    <mergeCell ref="J76:K76"/>
    <mergeCell ref="L76:M76"/>
    <mergeCell ref="J77:K77"/>
    <mergeCell ref="L77:M77"/>
    <mergeCell ref="J78:K78"/>
    <mergeCell ref="L78:M78"/>
    <mergeCell ref="J79:K79"/>
    <mergeCell ref="L79:M79"/>
    <mergeCell ref="J80:K80"/>
    <mergeCell ref="L80:M80"/>
    <mergeCell ref="J82:K82"/>
    <mergeCell ref="L82:M82"/>
    <mergeCell ref="J87:K87"/>
    <mergeCell ref="L87:M87"/>
    <mergeCell ref="J88:K88"/>
    <mergeCell ref="L88:M88"/>
    <mergeCell ref="J89:K89"/>
    <mergeCell ref="L89:M89"/>
    <mergeCell ref="J81:K81"/>
    <mergeCell ref="L81:M81"/>
    <mergeCell ref="J90:K90"/>
    <mergeCell ref="L90:M90"/>
    <mergeCell ref="J91:K91"/>
    <mergeCell ref="L91:M91"/>
    <mergeCell ref="J92:K92"/>
    <mergeCell ref="L92:M92"/>
    <mergeCell ref="J93:K93"/>
    <mergeCell ref="L93:M93"/>
    <mergeCell ref="J98:K98"/>
    <mergeCell ref="L98:M98"/>
    <mergeCell ref="J99:K99"/>
    <mergeCell ref="L99:M99"/>
    <mergeCell ref="J100:K100"/>
    <mergeCell ref="L100:M100"/>
    <mergeCell ref="J101:K101"/>
    <mergeCell ref="L101:M101"/>
    <mergeCell ref="J102:K102"/>
    <mergeCell ref="L102:M102"/>
    <mergeCell ref="J103:K103"/>
    <mergeCell ref="L103:M103"/>
    <mergeCell ref="J104:K104"/>
    <mergeCell ref="L104:M104"/>
    <mergeCell ref="L114:M114"/>
    <mergeCell ref="J114:K114"/>
    <mergeCell ref="L120:M120"/>
    <mergeCell ref="J120:K120"/>
    <mergeCell ref="L119:M119"/>
    <mergeCell ref="J119:K119"/>
    <mergeCell ref="L118:M118"/>
    <mergeCell ref="J118:K118"/>
    <mergeCell ref="L117:M117"/>
    <mergeCell ref="J117:K117"/>
    <mergeCell ref="L116:M116"/>
    <mergeCell ref="J116:K116"/>
    <mergeCell ref="L115:M115"/>
    <mergeCell ref="J115:K115"/>
    <mergeCell ref="L131:M131"/>
    <mergeCell ref="L130:M130"/>
    <mergeCell ref="L129:M129"/>
    <mergeCell ref="L128:M128"/>
    <mergeCell ref="L127:M127"/>
    <mergeCell ref="L126:M126"/>
    <mergeCell ref="L125:M125"/>
    <mergeCell ref="J131:K131"/>
    <mergeCell ref="J130:K130"/>
    <mergeCell ref="J129:K129"/>
    <mergeCell ref="J128:K128"/>
    <mergeCell ref="J127:K127"/>
    <mergeCell ref="J126:K126"/>
    <mergeCell ref="J125:K125"/>
    <mergeCell ref="J136:K136"/>
    <mergeCell ref="L136:M136"/>
    <mergeCell ref="J137:K137"/>
    <mergeCell ref="L137:M137"/>
    <mergeCell ref="J138:K138"/>
    <mergeCell ref="L138:M138"/>
    <mergeCell ref="J139:K139"/>
    <mergeCell ref="L139:M139"/>
    <mergeCell ref="J140:K140"/>
    <mergeCell ref="L140:M140"/>
    <mergeCell ref="J141:K141"/>
    <mergeCell ref="L141:M141"/>
    <mergeCell ref="J142:K142"/>
    <mergeCell ref="L142:M142"/>
    <mergeCell ref="J147:K147"/>
    <mergeCell ref="L147:M147"/>
    <mergeCell ref="J148:K148"/>
    <mergeCell ref="L148:M148"/>
    <mergeCell ref="J149:K149"/>
    <mergeCell ref="L149:M149"/>
    <mergeCell ref="J150:K150"/>
    <mergeCell ref="L150:M150"/>
    <mergeCell ref="J151:K151"/>
    <mergeCell ref="L151:M151"/>
    <mergeCell ref="J152:K152"/>
    <mergeCell ref="L152:M152"/>
    <mergeCell ref="J153:K153"/>
    <mergeCell ref="L153:M153"/>
    <mergeCell ref="L167:M167"/>
    <mergeCell ref="L166:M166"/>
    <mergeCell ref="L165:M165"/>
    <mergeCell ref="L164:M164"/>
    <mergeCell ref="J167:K167"/>
    <mergeCell ref="J166:K166"/>
    <mergeCell ref="J165:K165"/>
    <mergeCell ref="J164:K164"/>
    <mergeCell ref="L163:M163"/>
    <mergeCell ref="J163:K163"/>
    <mergeCell ref="L177:M177"/>
    <mergeCell ref="J177:K177"/>
    <mergeCell ref="L176:M176"/>
    <mergeCell ref="J176:K176"/>
    <mergeCell ref="L175:M175"/>
    <mergeCell ref="L174:M174"/>
    <mergeCell ref="L173:M173"/>
    <mergeCell ref="L172:M172"/>
    <mergeCell ref="J175:K175"/>
    <mergeCell ref="J174:K174"/>
    <mergeCell ref="J173:K173"/>
    <mergeCell ref="J172:K172"/>
    <mergeCell ref="L186:M186"/>
    <mergeCell ref="J186:K186"/>
    <mergeCell ref="L185:M185"/>
    <mergeCell ref="J185:K185"/>
    <mergeCell ref="L184:M184"/>
    <mergeCell ref="J184:K184"/>
    <mergeCell ref="L183:M183"/>
    <mergeCell ref="J183:K183"/>
    <mergeCell ref="L182:M182"/>
    <mergeCell ref="J182:K182"/>
  </mergeCells>
  <conditionalFormatting sqref="C14 C25 C36 C47 C63 C74 C86 C97 C113 C124 C135 C146 C162 C171 C181">
    <cfRule type="expression" dxfId="84" priority="42">
      <formula>$B13=0</formula>
    </cfRule>
  </conditionalFormatting>
  <conditionalFormatting sqref="C16:C21 C27:C32 C38:C43 C49:C54 C65:C70 C76:C82 C88:C93 C99:C104 C115:C120 C126:C131 C137:C142 C148:C153 C164:C167 C173:C177 C183:C186">
    <cfRule type="expression" dxfId="83" priority="32">
      <formula>B16=0</formula>
    </cfRule>
  </conditionalFormatting>
  <conditionalFormatting sqref="C15:J15 L15 C26:J26 L26 C37:J37 L37 C48:J48 L48 C64:J64 L64 C75:J75 L75 C87:J87 L87 C98:J98 L98 C114:J114 L114 C125:J125 L125 C136:J136 L136 C147:J147 L147 C163:J163 L163 C172:J172 L172 C182:J182 L182">
    <cfRule type="expression" dxfId="79" priority="41">
      <formula>$B13=0</formula>
    </cfRule>
  </conditionalFormatting>
  <conditionalFormatting sqref="D16:E21 D27:E32 D38:E43 D49:E54 D65:E70 D76:E82 D88:E93 D99:E104 D115:E120 D126:E131 D137:E142 D148:E153 D164:E167 D173:E177 D183:E186">
    <cfRule type="expression" dxfId="78" priority="31">
      <formula>$B16=0</formula>
    </cfRule>
  </conditionalFormatting>
  <conditionalFormatting sqref="E13 E24 E35 E46 E62 E73 E85 E96 E112 E123 E134 E145 E161 E170 E180">
    <cfRule type="expression" dxfId="77" priority="11">
      <formula>$B13=0</formula>
    </cfRule>
  </conditionalFormatting>
  <conditionalFormatting sqref="F16:J21">
    <cfRule type="expression" dxfId="75" priority="29">
      <formula>$B16=0</formula>
    </cfRule>
  </conditionalFormatting>
  <conditionalFormatting sqref="F27:J32">
    <cfRule type="expression" dxfId="74" priority="28">
      <formula>$B27=0</formula>
    </cfRule>
  </conditionalFormatting>
  <conditionalFormatting sqref="F38:J43">
    <cfRule type="expression" dxfId="73" priority="27">
      <formula>$B38=0</formula>
    </cfRule>
  </conditionalFormatting>
  <conditionalFormatting sqref="F49:J54">
    <cfRule type="expression" dxfId="72" priority="10">
      <formula>$B49=0</formula>
    </cfRule>
  </conditionalFormatting>
  <conditionalFormatting sqref="F65:J70">
    <cfRule type="expression" dxfId="71" priority="9">
      <formula>$B65=0</formula>
    </cfRule>
  </conditionalFormatting>
  <conditionalFormatting sqref="F76:J82">
    <cfRule type="expression" dxfId="70" priority="8">
      <formula>$B76=0</formula>
    </cfRule>
  </conditionalFormatting>
  <conditionalFormatting sqref="F88:J93">
    <cfRule type="expression" dxfId="69" priority="20">
      <formula>$B88=0</formula>
    </cfRule>
  </conditionalFormatting>
  <conditionalFormatting sqref="F99:J104">
    <cfRule type="expression" dxfId="68" priority="19">
      <formula>$B99=0</formula>
    </cfRule>
  </conditionalFormatting>
  <conditionalFormatting sqref="F115:J120">
    <cfRule type="expression" dxfId="67" priority="18">
      <formula>$B115=0</formula>
    </cfRule>
  </conditionalFormatting>
  <conditionalFormatting sqref="F126:J131">
    <cfRule type="expression" dxfId="66" priority="17">
      <formula>$B126=0</formula>
    </cfRule>
  </conditionalFormatting>
  <conditionalFormatting sqref="F137:J142">
    <cfRule type="expression" dxfId="65" priority="16">
      <formula>$B137=0</formula>
    </cfRule>
  </conditionalFormatting>
  <conditionalFormatting sqref="F148:J153">
    <cfRule type="expression" dxfId="64" priority="15">
      <formula>$B148=0</formula>
    </cfRule>
  </conditionalFormatting>
  <conditionalFormatting sqref="F164:J167">
    <cfRule type="expression" dxfId="63" priority="14">
      <formula>$B164=0</formula>
    </cfRule>
  </conditionalFormatting>
  <conditionalFormatting sqref="F173:J177">
    <cfRule type="expression" dxfId="62" priority="13">
      <formula>$B173=0</formula>
    </cfRule>
  </conditionalFormatting>
  <conditionalFormatting sqref="F183:J186">
    <cfRule type="expression" dxfId="61" priority="12">
      <formula>$B183=0</formula>
    </cfRule>
  </conditionalFormatting>
  <conditionalFormatting sqref="I5:L5">
    <cfRule type="cellIs" dxfId="57" priority="5" operator="equal">
      <formula>1</formula>
    </cfRule>
  </conditionalFormatting>
  <conditionalFormatting sqref="I4:M4">
    <cfRule type="cellIs" dxfId="56" priority="7" operator="equal">
      <formula>$O$6</formula>
    </cfRule>
  </conditionalFormatting>
  <conditionalFormatting sqref="I5:M5">
    <cfRule type="dataBar" priority="6">
      <dataBar>
        <cfvo type="num" val="0"/>
        <cfvo type="num" val="1"/>
        <color rgb="FF92D050"/>
      </dataBar>
      <extLst>
        <ext xmlns:x14="http://schemas.microsoft.com/office/spreadsheetml/2009/9/main" uri="{B025F937-C7B1-47D3-B67F-A62EFF666E3E}">
          <x14:id>{0BFA3243-7896-43F6-A1DE-E6B34D3D0BEE}</x14:id>
        </ext>
      </extLst>
    </cfRule>
    <cfRule type="cellIs" dxfId="55" priority="4" operator="equal">
      <formula>0</formula>
    </cfRule>
  </conditionalFormatting>
  <conditionalFormatting sqref="L16:L21 L27:L32 L38:L43 L49:L54 L65:L70 L76:L82 L88:L93 L99:L104 L115:L120 L126:L131 L137:L142 L148:L153 L164:L167 L173:L177 L183:L186">
    <cfRule type="expression" dxfId="54" priority="30">
      <formula>$B16=0</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4" id="{8BD05B88-5AAA-4BFC-97EA-8A642F239A25}">
            <xm:f>$G23=tech!$A$9</xm:f>
            <x14:dxf>
              <font>
                <color theme="0" tint="-0.499984740745262"/>
              </font>
              <fill>
                <patternFill>
                  <bgColor theme="0" tint="-4.9989318521683403E-2"/>
                </patternFill>
              </fill>
            </x14:dxf>
          </x14:cfRule>
          <xm:sqref>C25 C36 C47</xm:sqref>
        </x14:conditionalFormatting>
        <x14:conditionalFormatting xmlns:xm="http://schemas.microsoft.com/office/excel/2006/main">
          <x14:cfRule type="expression" priority="43" id="{BDA76B4D-8794-48B6-AE8F-5708CAE29F97}">
            <xm:f>$F8=tech!$A$9</xm:f>
            <x14:dxf>
              <font>
                <color theme="1" tint="0.499984740745262"/>
              </font>
              <fill>
                <patternFill>
                  <bgColor theme="0" tint="-0.34998626667073579"/>
                </patternFill>
              </fill>
            </x14:dxf>
          </x14:cfRule>
          <xm:sqref>C8:F8 C57:F57 C107:F107 C156:F156</xm:sqref>
        </x14:conditionalFormatting>
        <x14:conditionalFormatting xmlns:xm="http://schemas.microsoft.com/office/excel/2006/main">
          <x14:cfRule type="expression" priority="38" id="{0F3E76FA-5440-4C2B-82F5-8F0B14B03A8A}">
            <xm:f>$F12=tech!$A$9</xm:f>
            <x14:dxf>
              <font>
                <color theme="1" tint="0.499984740745262"/>
              </font>
              <fill>
                <patternFill>
                  <bgColor theme="0" tint="-0.24994659260841701"/>
                </patternFill>
              </fill>
            </x14:dxf>
          </x14:cfRule>
          <xm:sqref>C12:F12 C23:F23 C34:F34 C45:F45 C61:F61 C72:F72 C84:F84 C95:F95 C111:F111 C122:F122 C133:F133 C144:F144 C160:F160 C169:F169 C179:F179 C13:E13 C24:E24 C35:E35 C46:E46 C62:E62 C73:E73 C85:E85 C96:E96 C112:E112 C123:E123 C134:E134 C145:E145 C161:E161 C170:E170 C180:E180</xm:sqref>
        </x14:conditionalFormatting>
        <x14:conditionalFormatting xmlns:xm="http://schemas.microsoft.com/office/excel/2006/main">
          <x14:cfRule type="cellIs" priority="33" operator="equal" id="{65A94FA3-1A35-4534-9E7E-5D5C42A54798}">
            <xm:f>tech!$A$9</xm:f>
            <x14:dxf>
              <font>
                <color rgb="FFC00000"/>
              </font>
            </x14:dxf>
          </x14:cfRule>
          <xm:sqref>F8 F12 F23 F34 F45 F57 F61 F72 F84 F95 F107 F111 F122 F133 F144 F156 F160 F169 F179</xm:sqref>
        </x14:conditionalFormatting>
        <x14:conditionalFormatting xmlns:xm="http://schemas.microsoft.com/office/excel/2006/main">
          <x14:cfRule type="expression" priority="1" stopIfTrue="1" id="{96CC7C10-9FDE-4292-8834-DDBEAF9B6735}">
            <xm:f>Overview!$D$9:$E$9&lt;&gt;""</xm:f>
            <x14:dxf>
              <font>
                <b val="0"/>
                <i val="0"/>
                <color auto="1"/>
              </font>
              <fill>
                <patternFill>
                  <bgColor theme="0" tint="-4.9989318521683403E-2"/>
                </patternFill>
              </fill>
            </x14:dxf>
          </x14:cfRule>
          <x14:cfRule type="expression" priority="109" id="{FB87FFB3-21A1-4B5C-B581-5B6C5E0C1BB2}">
            <xm:f>TODAY()&gt;Overview!D8</xm:f>
            <x14:dxf>
              <font>
                <b/>
                <i val="0"/>
                <color theme="0"/>
              </font>
              <fill>
                <patternFill>
                  <bgColor rgb="FFC00000"/>
                </patternFill>
              </fill>
            </x14:dxf>
          </x14:cfRule>
          <x14:cfRule type="expression" priority="110" id="{4D4D9A96-EA67-40C0-8780-824A9067F573}">
            <xm:f>AND(TODAY()&lt;Overview!D8,(Overview!D8-TODAY())&lt;tech!$H$10)</xm:f>
            <x14:dxf>
              <font>
                <b/>
                <i val="0"/>
                <color rgb="FFC00000"/>
              </font>
            </x14:dxf>
          </x14:cfRule>
          <xm:sqref>H4</xm:sqref>
        </x14:conditionalFormatting>
        <x14:conditionalFormatting xmlns:xm="http://schemas.microsoft.com/office/excel/2006/main">
          <x14:cfRule type="dataBar" id="{0BFA3243-7896-43F6-A1DE-E6B34D3D0BEE}">
            <x14:dataBar minLength="0" maxLength="100" gradient="0">
              <x14:cfvo type="num">
                <xm:f>0</xm:f>
              </x14:cfvo>
              <x14:cfvo type="num">
                <xm:f>1</xm:f>
              </x14:cfvo>
              <x14:negativeFillColor rgb="FFFF0000"/>
              <x14:axisColor rgb="FF000000"/>
            </x14:dataBar>
          </x14:cfRule>
          <xm:sqref>I5:M5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3CC0D42-93EC-48B3-B11F-EC04FE4635B3}">
          <x14:formula1>
            <xm:f>tech!$A$13:$A$17</xm:f>
          </x14:formula1>
          <xm:sqref>I16:I21 I173:I177 I164:I167 I148:I153 I137:I142 I126:I131 I115:I120 I99:I104 I88:I93 I76:I82 I65:I70 I49:I54 I38:I43 I27:I32 I183:I186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1B50A-8AE6-42AB-AA1C-2FFE42380F5A}">
  <dimension ref="B1:AC145"/>
  <sheetViews>
    <sheetView showGridLines="0" zoomScale="80" zoomScaleNormal="80" workbookViewId="0">
      <pane ySplit="6" topLeftCell="A7" activePane="bottomLeft" state="frozen"/>
      <selection pane="bottomLeft" activeCell="K62" sqref="K62:L62"/>
    </sheetView>
  </sheetViews>
  <sheetFormatPr defaultColWidth="8.85546875" defaultRowHeight="15" x14ac:dyDescent="0.25"/>
  <cols>
    <col min="1" max="1" width="2.85546875" customWidth="1"/>
    <col min="2" max="2" width="6.42578125" hidden="1" customWidth="1"/>
    <col min="3" max="3" width="42.85546875" customWidth="1"/>
    <col min="4" max="4" width="8.42578125" hidden="1" customWidth="1"/>
    <col min="5" max="5" width="5.85546875" hidden="1" customWidth="1"/>
    <col min="6" max="6" width="28.42578125" customWidth="1"/>
    <col min="7" max="13" width="14.28515625" customWidth="1"/>
    <col min="14" max="14" width="16.7109375" customWidth="1"/>
    <col min="15" max="15" width="11.7109375" customWidth="1"/>
    <col min="16" max="22" width="9.140625" hidden="1" customWidth="1"/>
    <col min="23" max="23" width="9.140625" customWidth="1"/>
    <col min="24" max="24" width="3.42578125" customWidth="1"/>
    <col min="25" max="25" width="13.42578125" bestFit="1" customWidth="1"/>
    <col min="26" max="27" width="9.140625" customWidth="1"/>
  </cols>
  <sheetData>
    <row r="1" spans="2:29" ht="15.75" thickBot="1" x14ac:dyDescent="0.3"/>
    <row r="2" spans="2:29" ht="15" customHeight="1" x14ac:dyDescent="0.25">
      <c r="C2" s="727" t="s">
        <v>210</v>
      </c>
      <c r="D2" s="728"/>
      <c r="E2" s="146"/>
      <c r="F2" s="940" t="str">
        <f>Overview!D5</f>
        <v>Cool PKI</v>
      </c>
      <c r="G2" s="940"/>
      <c r="H2" s="940"/>
      <c r="I2" s="940"/>
      <c r="J2" s="146"/>
      <c r="K2" s="146"/>
      <c r="L2" s="146"/>
      <c r="M2" s="146"/>
      <c r="N2" s="147"/>
    </row>
    <row r="3" spans="2:29" ht="15" customHeight="1" x14ac:dyDescent="0.25">
      <c r="C3" s="729"/>
      <c r="D3" s="730"/>
      <c r="E3" s="144"/>
      <c r="F3" s="941"/>
      <c r="G3" s="941"/>
      <c r="H3" s="941"/>
      <c r="I3" s="941"/>
      <c r="J3" s="144"/>
      <c r="K3" s="932" t="str">
        <f ca="1">_xlfn.CONCAT("Duration of the assessment: ",TODAY()-Overview!D7," days     ")</f>
        <v xml:space="preserve">Duration of the assessment: 321 days     </v>
      </c>
      <c r="L3" s="932"/>
      <c r="M3" s="932"/>
      <c r="N3" s="933"/>
    </row>
    <row r="4" spans="2:29" ht="15" customHeight="1" x14ac:dyDescent="0.25">
      <c r="C4" s="729"/>
      <c r="D4" s="730"/>
      <c r="E4" s="144"/>
      <c r="F4" s="941"/>
      <c r="G4" s="941"/>
      <c r="H4" s="941"/>
      <c r="I4" s="941"/>
      <c r="J4" s="144"/>
      <c r="K4" s="932" t="str">
        <f ca="1">IF(Overview!D9&lt;&gt;"","The assessment has been finished     ",IF(Overview!D8&gt;=TODAY(),_xlfn.CONCAT("Remaining time to the target date: ",Overview!D8-TODAY()," days     "),_xlfn.CONCAT("Overrunning the target date by: ",TODAY()-Overview!D8," days     ")))</f>
        <v xml:space="preserve">The assessment has been finished     </v>
      </c>
      <c r="L4" s="932"/>
      <c r="M4" s="932"/>
      <c r="N4" s="933"/>
    </row>
    <row r="5" spans="2:29" ht="15.75" customHeight="1" thickBot="1" x14ac:dyDescent="0.3">
      <c r="C5" s="731"/>
      <c r="D5" s="732"/>
      <c r="E5" s="148"/>
      <c r="F5" s="942" t="str">
        <f>Overview!D6</f>
        <v>3Key Company</v>
      </c>
      <c r="G5" s="942"/>
      <c r="H5" s="942"/>
      <c r="I5" s="942"/>
      <c r="J5" s="148"/>
      <c r="K5" s="943" t="str">
        <f>_xlfn.CONCAT("Name of responsible assessor: ",Overview!L7,"     ")</f>
        <v xml:space="preserve">Name of responsible assessor: Franta Hrábě     </v>
      </c>
      <c r="L5" s="943"/>
      <c r="M5" s="943"/>
      <c r="N5" s="944"/>
    </row>
    <row r="7" spans="2:29" ht="15.75" thickBot="1" x14ac:dyDescent="0.3"/>
    <row r="8" spans="2:29" ht="15.75" thickBot="1" x14ac:dyDescent="0.3">
      <c r="C8" s="875" t="s">
        <v>302</v>
      </c>
      <c r="D8" s="877" t="s">
        <v>139</v>
      </c>
      <c r="E8" s="877"/>
      <c r="F8" s="878"/>
      <c r="G8" s="881" t="s">
        <v>136</v>
      </c>
      <c r="H8" s="882"/>
      <c r="I8" s="882"/>
      <c r="J8" s="882"/>
      <c r="K8" s="882"/>
      <c r="L8" s="882"/>
      <c r="M8" s="882"/>
      <c r="N8" s="883"/>
    </row>
    <row r="9" spans="2:29" ht="15.75" thickBot="1" x14ac:dyDescent="0.3">
      <c r="C9" s="876"/>
      <c r="D9" s="879"/>
      <c r="E9" s="879"/>
      <c r="F9" s="880"/>
      <c r="G9" s="86" t="s">
        <v>55</v>
      </c>
      <c r="H9" s="219" t="s">
        <v>54</v>
      </c>
      <c r="I9" s="84" t="s">
        <v>47</v>
      </c>
      <c r="J9" s="84" t="s">
        <v>48</v>
      </c>
      <c r="K9" s="84" t="s">
        <v>49</v>
      </c>
      <c r="L9" s="84" t="s">
        <v>50</v>
      </c>
      <c r="M9" s="85" t="s">
        <v>51</v>
      </c>
      <c r="N9" s="86" t="s">
        <v>327</v>
      </c>
      <c r="P9" s="70" t="s">
        <v>55</v>
      </c>
      <c r="Q9" s="70" t="s">
        <v>54</v>
      </c>
      <c r="R9" s="70" t="s">
        <v>47</v>
      </c>
      <c r="S9" s="70" t="s">
        <v>48</v>
      </c>
      <c r="T9" s="70" t="s">
        <v>49</v>
      </c>
      <c r="U9" s="70" t="s">
        <v>50</v>
      </c>
      <c r="V9" s="70" t="s">
        <v>51</v>
      </c>
      <c r="W9" s="70"/>
    </row>
    <row r="10" spans="2:29" ht="45" customHeight="1" thickBot="1" x14ac:dyDescent="0.75">
      <c r="B10">
        <v>1</v>
      </c>
      <c r="C10" s="945" t="str">
        <f>Overview!D5</f>
        <v>Cool PKI</v>
      </c>
      <c r="D10" s="135">
        <f>IF(OR(B10=0,E10=0),"",E10)</f>
        <v>2</v>
      </c>
      <c r="E10" s="71">
        <f>Assessment!N6</f>
        <v>2</v>
      </c>
      <c r="F10" s="201" t="str">
        <f>VLOOKUP(E10,tech!$A$21:$B$26,2,0)</f>
        <v>Basic</v>
      </c>
      <c r="G10" s="934" t="str">
        <f>IF(P10=0,"",P10)</f>
        <v/>
      </c>
      <c r="H10" s="948" t="str">
        <f t="shared" ref="H10:M10" si="0">IF(Q10=0,"",Q10)</f>
        <v/>
      </c>
      <c r="I10" s="938">
        <f t="shared" si="0"/>
        <v>7</v>
      </c>
      <c r="J10" s="938">
        <f t="shared" si="0"/>
        <v>21</v>
      </c>
      <c r="K10" s="938">
        <f t="shared" si="0"/>
        <v>19</v>
      </c>
      <c r="L10" s="938">
        <f t="shared" si="0"/>
        <v>18</v>
      </c>
      <c r="M10" s="936">
        <f t="shared" si="0"/>
        <v>7</v>
      </c>
      <c r="N10" s="934">
        <f>IF(SUM(Q10:V10)=0,"",SUM(Q10:V10))</f>
        <v>72</v>
      </c>
      <c r="P10" s="69">
        <f t="shared" ref="P10:V10" si="1">SUM(P30:P58)</f>
        <v>0</v>
      </c>
      <c r="Q10" s="69">
        <f t="shared" si="1"/>
        <v>0</v>
      </c>
      <c r="R10" s="69">
        <f t="shared" si="1"/>
        <v>7</v>
      </c>
      <c r="S10" s="69">
        <f t="shared" si="1"/>
        <v>21</v>
      </c>
      <c r="T10" s="69">
        <f t="shared" si="1"/>
        <v>19</v>
      </c>
      <c r="U10" s="69">
        <f t="shared" si="1"/>
        <v>18</v>
      </c>
      <c r="V10" s="69">
        <f t="shared" si="1"/>
        <v>7</v>
      </c>
      <c r="W10" s="69"/>
    </row>
    <row r="11" spans="2:29" ht="10.5" customHeight="1" thickBot="1" x14ac:dyDescent="0.75">
      <c r="C11" s="946"/>
      <c r="D11" s="181"/>
      <c r="E11" s="88"/>
      <c r="F11" s="171">
        <f>E10</f>
        <v>2</v>
      </c>
      <c r="G11" s="935"/>
      <c r="H11" s="949"/>
      <c r="I11" s="939"/>
      <c r="J11" s="939"/>
      <c r="K11" s="939"/>
      <c r="L11" s="939"/>
      <c r="M11" s="937"/>
      <c r="N11" s="935"/>
      <c r="P11" s="69"/>
      <c r="Q11" s="69"/>
      <c r="R11" s="69"/>
      <c r="S11" s="69"/>
      <c r="T11" s="69"/>
      <c r="U11" s="69"/>
      <c r="V11" s="69"/>
      <c r="W11" s="69"/>
    </row>
    <row r="12" spans="2:29" ht="30" customHeight="1" thickBot="1" x14ac:dyDescent="0.75">
      <c r="C12" s="947"/>
      <c r="D12" s="181"/>
      <c r="E12" s="88"/>
      <c r="F12" s="950" t="str">
        <f>IF(E10=0,tech!B21,VLOOKUP(E10,tech!$D$3:$H$8,5,0))</f>
        <v>Process is characterized by each particular case or project and controls are often reactive</v>
      </c>
      <c r="G12" s="950"/>
      <c r="H12" s="950"/>
      <c r="I12" s="950"/>
      <c r="J12" s="950"/>
      <c r="K12" s="950"/>
      <c r="L12" s="950"/>
      <c r="M12" s="950"/>
      <c r="N12" s="951"/>
      <c r="P12" s="69"/>
      <c r="Q12" s="69"/>
      <c r="R12" s="69"/>
      <c r="S12" s="69"/>
      <c r="T12" s="69"/>
      <c r="U12" s="69"/>
      <c r="V12" s="69"/>
      <c r="W12" s="69"/>
    </row>
    <row r="13" spans="2:29" ht="7.5" customHeight="1" x14ac:dyDescent="0.25">
      <c r="C13" s="90"/>
      <c r="D13" s="87"/>
      <c r="E13" s="88"/>
      <c r="F13" s="239"/>
      <c r="G13" s="239"/>
      <c r="H13" s="239"/>
      <c r="I13" s="239"/>
      <c r="J13" s="239"/>
      <c r="K13" s="239"/>
      <c r="L13" s="239"/>
      <c r="M13" s="239"/>
      <c r="N13" s="240"/>
    </row>
    <row r="14" spans="2:29" ht="90" customHeight="1" x14ac:dyDescent="0.25">
      <c r="C14" s="249" t="s">
        <v>144</v>
      </c>
      <c r="D14" s="886" t="str">
        <f>IF(E10=0,tech!B21,VLOOKUP(E10,tech!$D$3:$G$8,3,0))</f>
        <v>• PKI is ad-hoc managed, often reactive
• There are defined processes and procedures which are followed
• PKI is not managed according to industry standards and regulations
• Insufficient knowledge</v>
      </c>
      <c r="E14" s="886"/>
      <c r="F14" s="886"/>
      <c r="G14" s="886"/>
      <c r="H14" s="886"/>
      <c r="I14" s="886"/>
      <c r="J14" s="886"/>
      <c r="K14" s="886"/>
      <c r="L14" s="886"/>
      <c r="M14" s="886"/>
      <c r="N14" s="887"/>
      <c r="AC14" s="83"/>
    </row>
    <row r="15" spans="2:29" ht="60" customHeight="1" x14ac:dyDescent="0.25">
      <c r="C15" s="250" t="s">
        <v>145</v>
      </c>
      <c r="D15" s="884" t="str">
        <f>IF(E10=0,tech!B21,VLOOKUP(E10,tech!$D$3:$G$8,4,0))</f>
        <v>• High probability of operational issues
• Medium probability of compromise
• no trust</v>
      </c>
      <c r="E15" s="884"/>
      <c r="F15" s="884"/>
      <c r="G15" s="884"/>
      <c r="H15" s="884"/>
      <c r="I15" s="884"/>
      <c r="J15" s="884"/>
      <c r="K15" s="884"/>
      <c r="L15" s="884"/>
      <c r="M15" s="884"/>
      <c r="N15" s="885"/>
      <c r="O15" s="2"/>
    </row>
    <row r="16" spans="2:29" ht="6.75" customHeight="1" thickBot="1" x14ac:dyDescent="0.3">
      <c r="C16" s="91"/>
      <c r="D16" s="89"/>
      <c r="E16" s="89"/>
      <c r="F16" s="241"/>
      <c r="G16" s="241"/>
      <c r="H16" s="241"/>
      <c r="I16" s="241"/>
      <c r="J16" s="241"/>
      <c r="K16" s="241"/>
      <c r="L16" s="241"/>
      <c r="M16" s="241"/>
      <c r="N16" s="242"/>
    </row>
    <row r="17" spans="2:23" ht="15.75" thickBot="1" x14ac:dyDescent="0.3">
      <c r="D17" s="69"/>
    </row>
    <row r="18" spans="2:23" ht="21.75" thickBot="1" x14ac:dyDescent="0.4">
      <c r="C18" s="264" t="s">
        <v>2</v>
      </c>
      <c r="D18" s="952" t="s">
        <v>137</v>
      </c>
      <c r="E18" s="953"/>
      <c r="F18" s="954"/>
      <c r="G18" s="266" t="s">
        <v>55</v>
      </c>
      <c r="H18" s="267" t="s">
        <v>54</v>
      </c>
      <c r="I18" s="268" t="s">
        <v>47</v>
      </c>
      <c r="J18" s="268" t="s">
        <v>48</v>
      </c>
      <c r="K18" s="268" t="s">
        <v>49</v>
      </c>
      <c r="L18" s="268" t="s">
        <v>50</v>
      </c>
      <c r="M18" s="269" t="s">
        <v>51</v>
      </c>
      <c r="N18" s="270" t="s">
        <v>327</v>
      </c>
      <c r="P18" s="70" t="s">
        <v>55</v>
      </c>
      <c r="Q18" s="70" t="s">
        <v>54</v>
      </c>
      <c r="R18" s="70" t="s">
        <v>47</v>
      </c>
      <c r="S18" s="70" t="s">
        <v>48</v>
      </c>
      <c r="T18" s="70" t="s">
        <v>49</v>
      </c>
      <c r="U18" s="70" t="s">
        <v>50</v>
      </c>
      <c r="V18" s="70" t="s">
        <v>51</v>
      </c>
      <c r="W18" s="70"/>
    </row>
    <row r="19" spans="2:23" ht="28.5" x14ac:dyDescent="0.25">
      <c r="B19">
        <f>IF(COUNTIF(B30:B36,0)=4,0,1)</f>
        <v>1</v>
      </c>
      <c r="C19" s="890" t="str">
        <f>Assessment!C8</f>
        <v>1. Governance</v>
      </c>
      <c r="D19" s="79">
        <f>IF(OR(B19=0,E19=0),"",E19)</f>
        <v>2</v>
      </c>
      <c r="E19" s="77">
        <f>Assessment!N9</f>
        <v>2</v>
      </c>
      <c r="F19" s="182" t="str">
        <f>IF(B19=0,tech!$B$9,VLOOKUP(E19,tech!$A$21:$B$26,2,0))</f>
        <v>Basic</v>
      </c>
      <c r="G19" s="904" t="str">
        <f>IF(P19=0,"",P19)</f>
        <v/>
      </c>
      <c r="H19" s="914" t="str">
        <f t="shared" ref="H19:M25" si="2">IF(Q19=0,"",Q19)</f>
        <v/>
      </c>
      <c r="I19" s="906">
        <f t="shared" si="2"/>
        <v>4</v>
      </c>
      <c r="J19" s="906">
        <f t="shared" si="2"/>
        <v>9</v>
      </c>
      <c r="K19" s="906">
        <f t="shared" si="2"/>
        <v>3</v>
      </c>
      <c r="L19" s="906">
        <f t="shared" si="2"/>
        <v>1</v>
      </c>
      <c r="M19" s="905">
        <f t="shared" si="2"/>
        <v>1</v>
      </c>
      <c r="N19" s="904">
        <f>IF(SUM(Q19:V19)=0,"",SUM(Q19:V19))</f>
        <v>18</v>
      </c>
      <c r="P19" s="69">
        <f t="shared" ref="P19:V19" si="3">SUM(P30:P36)</f>
        <v>0</v>
      </c>
      <c r="Q19" s="69">
        <f t="shared" si="3"/>
        <v>0</v>
      </c>
      <c r="R19" s="69">
        <f t="shared" si="3"/>
        <v>4</v>
      </c>
      <c r="S19" s="69">
        <f t="shared" si="3"/>
        <v>9</v>
      </c>
      <c r="T19" s="69">
        <f t="shared" si="3"/>
        <v>3</v>
      </c>
      <c r="U19" s="69">
        <f t="shared" si="3"/>
        <v>1</v>
      </c>
      <c r="V19" s="69">
        <f t="shared" si="3"/>
        <v>1</v>
      </c>
      <c r="W19" s="69"/>
    </row>
    <row r="20" spans="2:23" ht="8.25" customHeight="1" thickBot="1" x14ac:dyDescent="0.3">
      <c r="C20" s="891"/>
      <c r="D20" s="176"/>
      <c r="E20" s="140"/>
      <c r="F20" s="172">
        <f>E19</f>
        <v>2</v>
      </c>
      <c r="G20" s="893"/>
      <c r="H20" s="898"/>
      <c r="I20" s="543"/>
      <c r="J20" s="543"/>
      <c r="K20" s="543"/>
      <c r="L20" s="543"/>
      <c r="M20" s="895"/>
      <c r="N20" s="893"/>
      <c r="P20" s="69"/>
      <c r="Q20" s="69"/>
      <c r="R20" s="69"/>
      <c r="S20" s="69"/>
      <c r="T20" s="69"/>
      <c r="U20" s="69"/>
      <c r="V20" s="69"/>
      <c r="W20" s="69"/>
    </row>
    <row r="21" spans="2:23" ht="28.5" x14ac:dyDescent="0.25">
      <c r="B21">
        <f>IF(COUNTIF(B38:B44,0)=4,0,1)</f>
        <v>1</v>
      </c>
      <c r="C21" s="888" t="str">
        <f>Assessment!C57</f>
        <v>2. Management</v>
      </c>
      <c r="D21" s="80">
        <f t="shared" ref="D21:D25" si="4">IF(OR(B21=0,E21=0),"",E21)</f>
        <v>2</v>
      </c>
      <c r="E21" s="78">
        <f>Assessment!N58</f>
        <v>2</v>
      </c>
      <c r="F21" s="202" t="str">
        <f>IF(B21=0,tech!$B$9,VLOOKUP(E21,tech!$A$21:$B$26,2,0))</f>
        <v>Basic</v>
      </c>
      <c r="G21" s="892" t="str">
        <f t="shared" ref="G21:G25" si="5">IF(P21=0,"",P21)</f>
        <v/>
      </c>
      <c r="H21" s="897" t="str">
        <f t="shared" si="2"/>
        <v/>
      </c>
      <c r="I21" s="896">
        <f t="shared" si="2"/>
        <v>1</v>
      </c>
      <c r="J21" s="896">
        <f t="shared" si="2"/>
        <v>9</v>
      </c>
      <c r="K21" s="896">
        <f t="shared" si="2"/>
        <v>5</v>
      </c>
      <c r="L21" s="896">
        <f t="shared" si="2"/>
        <v>7</v>
      </c>
      <c r="M21" s="894">
        <f t="shared" si="2"/>
        <v>1</v>
      </c>
      <c r="N21" s="892">
        <f t="shared" ref="N21:N25" si="6">IF(SUM(Q21:V21)=0,"",SUM(Q21:V21))</f>
        <v>23</v>
      </c>
      <c r="P21" s="69">
        <f t="shared" ref="P21:V21" si="7">SUM(P38:P44)</f>
        <v>0</v>
      </c>
      <c r="Q21" s="69">
        <f t="shared" si="7"/>
        <v>0</v>
      </c>
      <c r="R21" s="69">
        <f t="shared" si="7"/>
        <v>1</v>
      </c>
      <c r="S21" s="69">
        <f t="shared" si="7"/>
        <v>9</v>
      </c>
      <c r="T21" s="69">
        <f t="shared" si="7"/>
        <v>5</v>
      </c>
      <c r="U21" s="69">
        <f t="shared" si="7"/>
        <v>7</v>
      </c>
      <c r="V21" s="69">
        <f t="shared" si="7"/>
        <v>1</v>
      </c>
      <c r="W21" s="69"/>
    </row>
    <row r="22" spans="2:23" ht="8.25" customHeight="1" thickBot="1" x14ac:dyDescent="0.3">
      <c r="C22" s="889"/>
      <c r="D22" s="80"/>
      <c r="E22" s="78"/>
      <c r="F22" s="172">
        <f>E21</f>
        <v>2</v>
      </c>
      <c r="G22" s="893"/>
      <c r="H22" s="898"/>
      <c r="I22" s="543"/>
      <c r="J22" s="543"/>
      <c r="K22" s="543"/>
      <c r="L22" s="543"/>
      <c r="M22" s="895"/>
      <c r="N22" s="893"/>
      <c r="P22" s="69"/>
      <c r="Q22" s="69"/>
      <c r="R22" s="69"/>
      <c r="S22" s="69"/>
      <c r="T22" s="69"/>
      <c r="U22" s="69"/>
      <c r="V22" s="69"/>
      <c r="W22" s="69"/>
    </row>
    <row r="23" spans="2:23" ht="28.5" x14ac:dyDescent="0.25">
      <c r="B23">
        <f>IF(COUNTIF(B46:B52,0)=4,0,1)</f>
        <v>1</v>
      </c>
      <c r="C23" s="928" t="str">
        <f>Assessment!C107</f>
        <v>3. Operations</v>
      </c>
      <c r="D23" s="80">
        <f t="shared" si="4"/>
        <v>3</v>
      </c>
      <c r="E23" s="78">
        <f>Assessment!N108</f>
        <v>3</v>
      </c>
      <c r="F23" s="202" t="str">
        <f>IF(B23=0,tech!$B$9,VLOOKUP(E23,tech!$A$21:$B$26,2,0))</f>
        <v>Advanced</v>
      </c>
      <c r="G23" s="902" t="str">
        <f t="shared" si="5"/>
        <v/>
      </c>
      <c r="H23" s="900" t="str">
        <f t="shared" si="2"/>
        <v/>
      </c>
      <c r="I23" s="899">
        <f t="shared" si="2"/>
        <v>1</v>
      </c>
      <c r="J23" s="899">
        <f t="shared" si="2"/>
        <v>2</v>
      </c>
      <c r="K23" s="899">
        <f t="shared" si="2"/>
        <v>10</v>
      </c>
      <c r="L23" s="899">
        <f t="shared" si="2"/>
        <v>4</v>
      </c>
      <c r="M23" s="930">
        <f t="shared" si="2"/>
        <v>1</v>
      </c>
      <c r="N23" s="902">
        <f t="shared" si="6"/>
        <v>18</v>
      </c>
      <c r="P23" s="69">
        <f t="shared" ref="P23:V23" si="8">SUM(P46:P52)</f>
        <v>0</v>
      </c>
      <c r="Q23" s="69">
        <f t="shared" si="8"/>
        <v>0</v>
      </c>
      <c r="R23" s="69">
        <f t="shared" si="8"/>
        <v>1</v>
      </c>
      <c r="S23" s="69">
        <f t="shared" si="8"/>
        <v>2</v>
      </c>
      <c r="T23" s="69">
        <f t="shared" si="8"/>
        <v>10</v>
      </c>
      <c r="U23" s="69">
        <f t="shared" si="8"/>
        <v>4</v>
      </c>
      <c r="V23" s="69">
        <f t="shared" si="8"/>
        <v>1</v>
      </c>
      <c r="W23" s="69"/>
    </row>
    <row r="24" spans="2:23" ht="8.25" customHeight="1" thickBot="1" x14ac:dyDescent="0.3">
      <c r="C24" s="929"/>
      <c r="D24" s="175"/>
      <c r="E24" s="163"/>
      <c r="F24" s="172">
        <f>E23</f>
        <v>3</v>
      </c>
      <c r="G24" s="902"/>
      <c r="H24" s="900"/>
      <c r="I24" s="899"/>
      <c r="J24" s="899"/>
      <c r="K24" s="899"/>
      <c r="L24" s="899"/>
      <c r="M24" s="930"/>
      <c r="N24" s="902"/>
      <c r="P24" s="69"/>
      <c r="Q24" s="69"/>
      <c r="R24" s="69"/>
      <c r="S24" s="69"/>
      <c r="T24" s="69"/>
      <c r="U24" s="69"/>
      <c r="V24" s="69"/>
      <c r="W24" s="69"/>
    </row>
    <row r="25" spans="2:23" ht="28.5" x14ac:dyDescent="0.25">
      <c r="B25">
        <f>IF(COUNTIF(B54:B58,0)=3,0,1)</f>
        <v>1</v>
      </c>
      <c r="C25" s="926" t="str">
        <f>Assessment!C156</f>
        <v>4. Resources</v>
      </c>
      <c r="D25" s="177">
        <f t="shared" si="4"/>
        <v>3</v>
      </c>
      <c r="E25" s="179">
        <f>Assessment!N157</f>
        <v>3</v>
      </c>
      <c r="F25" s="202" t="str">
        <f>IF(B25=0,tech!$B$9,VLOOKUP(E25,tech!$A$21:$B$26,2,0))</f>
        <v>Advanced</v>
      </c>
      <c r="G25" s="902" t="str">
        <f t="shared" si="5"/>
        <v/>
      </c>
      <c r="H25" s="900" t="str">
        <f t="shared" si="2"/>
        <v/>
      </c>
      <c r="I25" s="899">
        <f t="shared" si="2"/>
        <v>1</v>
      </c>
      <c r="J25" s="899">
        <f t="shared" si="2"/>
        <v>1</v>
      </c>
      <c r="K25" s="899">
        <f t="shared" si="2"/>
        <v>1</v>
      </c>
      <c r="L25" s="899">
        <f t="shared" si="2"/>
        <v>6</v>
      </c>
      <c r="M25" s="930">
        <f t="shared" si="2"/>
        <v>4</v>
      </c>
      <c r="N25" s="902">
        <f t="shared" si="6"/>
        <v>13</v>
      </c>
      <c r="P25" s="69">
        <f t="shared" ref="P25:V25" si="9">SUM(P54:P58)</f>
        <v>0</v>
      </c>
      <c r="Q25" s="69">
        <f t="shared" si="9"/>
        <v>0</v>
      </c>
      <c r="R25" s="69">
        <f t="shared" si="9"/>
        <v>1</v>
      </c>
      <c r="S25" s="69">
        <f t="shared" si="9"/>
        <v>1</v>
      </c>
      <c r="T25" s="69">
        <f t="shared" si="9"/>
        <v>1</v>
      </c>
      <c r="U25" s="69">
        <f t="shared" si="9"/>
        <v>6</v>
      </c>
      <c r="V25" s="69">
        <f t="shared" si="9"/>
        <v>4</v>
      </c>
      <c r="W25" s="69"/>
    </row>
    <row r="26" spans="2:23" ht="8.25" customHeight="1" thickBot="1" x14ac:dyDescent="0.3">
      <c r="C26" s="927"/>
      <c r="D26" s="178"/>
      <c r="E26" s="180"/>
      <c r="F26" s="171">
        <f>E25</f>
        <v>3</v>
      </c>
      <c r="G26" s="903"/>
      <c r="H26" s="901"/>
      <c r="I26" s="535"/>
      <c r="J26" s="535"/>
      <c r="K26" s="535"/>
      <c r="L26" s="535"/>
      <c r="M26" s="931"/>
      <c r="N26" s="903"/>
      <c r="P26" s="69"/>
      <c r="Q26" s="69"/>
      <c r="R26" s="69"/>
      <c r="S26" s="69"/>
      <c r="T26" s="69"/>
      <c r="U26" s="69"/>
      <c r="V26" s="69"/>
      <c r="W26" s="69"/>
    </row>
    <row r="27" spans="2:23" x14ac:dyDescent="0.25">
      <c r="D27" s="69"/>
    </row>
    <row r="28" spans="2:23" ht="15.75" thickBot="1" x14ac:dyDescent="0.3">
      <c r="D28" s="69"/>
    </row>
    <row r="29" spans="2:23" ht="21.75" thickBot="1" x14ac:dyDescent="0.3">
      <c r="C29" s="265" t="s">
        <v>0</v>
      </c>
      <c r="D29" s="872" t="s">
        <v>138</v>
      </c>
      <c r="E29" s="873"/>
      <c r="F29" s="874"/>
      <c r="G29" s="222" t="s">
        <v>55</v>
      </c>
      <c r="H29" s="73" t="s">
        <v>54</v>
      </c>
      <c r="I29" s="73" t="s">
        <v>47</v>
      </c>
      <c r="J29" s="73" t="s">
        <v>48</v>
      </c>
      <c r="K29" s="73" t="s">
        <v>49</v>
      </c>
      <c r="L29" s="73" t="s">
        <v>50</v>
      </c>
      <c r="M29" s="72" t="s">
        <v>51</v>
      </c>
      <c r="N29" s="272" t="s">
        <v>327</v>
      </c>
      <c r="P29" s="70" t="s">
        <v>55</v>
      </c>
      <c r="Q29" s="70" t="s">
        <v>54</v>
      </c>
      <c r="R29" s="70" t="s">
        <v>47</v>
      </c>
      <c r="S29" s="70" t="s">
        <v>48</v>
      </c>
      <c r="T29" s="70" t="s">
        <v>49</v>
      </c>
      <c r="U29" s="70" t="s">
        <v>50</v>
      </c>
      <c r="V29" s="70" t="s">
        <v>51</v>
      </c>
      <c r="W29" s="70"/>
    </row>
    <row r="30" spans="2:23" ht="23.25" x14ac:dyDescent="0.25">
      <c r="B30">
        <f>IF(Scoping!F10=tech!$A$5,0,1)</f>
        <v>1</v>
      </c>
      <c r="C30" s="916" t="str">
        <f>Assessment!$C$12</f>
        <v>1.1. Strategy and vision</v>
      </c>
      <c r="D30" s="174">
        <f>IF(OR(B30=0,E30=0),"",E30)</f>
        <v>1</v>
      </c>
      <c r="E30" s="140">
        <f>Assessment!N13</f>
        <v>1</v>
      </c>
      <c r="F30" s="271" t="str">
        <f>IF(B30=0,tech!$B$9,VLOOKUP(E30,tech!$A$21:$B$26,2,0))</f>
        <v>Initial</v>
      </c>
      <c r="G30" s="904" t="str">
        <f t="shared" ref="G30:G58" si="10">IF(P30=0,"",P30)</f>
        <v/>
      </c>
      <c r="H30" s="914" t="str">
        <f t="shared" ref="H30:H58" si="11">IF(Q30=0,"",Q30)</f>
        <v/>
      </c>
      <c r="I30" s="906">
        <f t="shared" ref="I30:I58" si="12">IF(R30=0,"",R30)</f>
        <v>4</v>
      </c>
      <c r="J30" s="906" t="str">
        <f t="shared" ref="J30:J58" si="13">IF(S30=0,"",S30)</f>
        <v/>
      </c>
      <c r="K30" s="906" t="str">
        <f t="shared" ref="K30:K58" si="14">IF(T30=0,"",T30)</f>
        <v/>
      </c>
      <c r="L30" s="906" t="str">
        <f t="shared" ref="L30:L58" si="15">IF(U30=0,"",U30)</f>
        <v/>
      </c>
      <c r="M30" s="907" t="str">
        <f t="shared" ref="M30:M58" si="16">IF(V30=0,"",V30)</f>
        <v/>
      </c>
      <c r="N30" s="904">
        <f>IF(SUM(Q30:V30)=0,"",SUM(Q30:V30))</f>
        <v>4</v>
      </c>
      <c r="P30" s="69">
        <f>COUNTIF(Assessment!$O16:$O21,tech!$B$9)</f>
        <v>0</v>
      </c>
      <c r="Q30" s="69">
        <f>COUNTIF(Assessment!$O16:$O21,tech!$B$21)</f>
        <v>0</v>
      </c>
      <c r="R30" s="69">
        <f>COUNTIF(Assessment!$O16:$O21,tech!$A$13)</f>
        <v>4</v>
      </c>
      <c r="S30" s="69">
        <f>COUNTIF(Assessment!$O16:$O21,tech!$A$14)</f>
        <v>0</v>
      </c>
      <c r="T30" s="69">
        <f>COUNTIF(Assessment!$O16:$O21,tech!$A$15)</f>
        <v>0</v>
      </c>
      <c r="U30" s="69">
        <f>COUNTIF(Assessment!$O16:$O21,tech!$A$16)</f>
        <v>0</v>
      </c>
      <c r="V30" s="69">
        <f>COUNTIF(Assessment!$O16:$O21,tech!$A$17)</f>
        <v>0</v>
      </c>
      <c r="W30" s="69"/>
    </row>
    <row r="31" spans="2:23" ht="7.5" customHeight="1" x14ac:dyDescent="0.25">
      <c r="C31" s="915"/>
      <c r="D31" s="174"/>
      <c r="E31" s="140"/>
      <c r="F31" s="173">
        <f>E30</f>
        <v>1</v>
      </c>
      <c r="G31" s="893"/>
      <c r="H31" s="898"/>
      <c r="I31" s="543"/>
      <c r="J31" s="543"/>
      <c r="K31" s="543"/>
      <c r="L31" s="543"/>
      <c r="M31" s="544"/>
      <c r="N31" s="893"/>
      <c r="P31" s="69"/>
      <c r="Q31" s="69"/>
      <c r="R31" s="69"/>
      <c r="S31" s="69"/>
      <c r="T31" s="69"/>
      <c r="U31" s="69"/>
      <c r="V31" s="69"/>
      <c r="W31" s="69"/>
    </row>
    <row r="32" spans="2:23" ht="23.25" x14ac:dyDescent="0.25">
      <c r="B32">
        <f>IF(Scoping!F16=tech!$A$5,0,1)</f>
        <v>1</v>
      </c>
      <c r="C32" s="912" t="str">
        <f>Assessment!C23</f>
        <v>1.2. Policies and documentation</v>
      </c>
      <c r="D32" s="81">
        <f t="shared" ref="D32:D58" si="17">IF(OR(B32=0,E32=0),"",E32)</f>
        <v>2</v>
      </c>
      <c r="E32" s="78">
        <f>Assessment!N24</f>
        <v>2</v>
      </c>
      <c r="F32" s="164" t="str">
        <f>IF(B32=0,tech!$B$9,VLOOKUP(E32,tech!$A$21:$B$26,2,0))</f>
        <v>Basic</v>
      </c>
      <c r="G32" s="892" t="str">
        <f t="shared" si="10"/>
        <v/>
      </c>
      <c r="H32" s="897" t="str">
        <f t="shared" si="11"/>
        <v/>
      </c>
      <c r="I32" s="896" t="str">
        <f t="shared" si="12"/>
        <v/>
      </c>
      <c r="J32" s="896">
        <f t="shared" si="13"/>
        <v>5</v>
      </c>
      <c r="K32" s="896" t="str">
        <f t="shared" si="14"/>
        <v/>
      </c>
      <c r="L32" s="896" t="str">
        <f t="shared" si="15"/>
        <v/>
      </c>
      <c r="M32" s="917" t="str">
        <f t="shared" si="16"/>
        <v/>
      </c>
      <c r="N32" s="892">
        <f t="shared" ref="N32:N58" si="18">IF(SUM(Q32:V32)=0,"",SUM(Q32:V32))</f>
        <v>5</v>
      </c>
      <c r="P32" s="69">
        <f>COUNTIF(Assessment!$O27:$O32,tech!$B$9)</f>
        <v>0</v>
      </c>
      <c r="Q32" s="69">
        <f>COUNTIF(Assessment!$O27:$O32,tech!$B$21)</f>
        <v>0</v>
      </c>
      <c r="R32" s="69">
        <f>COUNTIF(Assessment!$O27:$O32,tech!$A$13)</f>
        <v>0</v>
      </c>
      <c r="S32" s="69">
        <f>COUNTIF(Assessment!$O27:$O32,tech!$A$14)</f>
        <v>5</v>
      </c>
      <c r="T32" s="69">
        <f>COUNTIF(Assessment!$O27:$O32,tech!$A$15)</f>
        <v>0</v>
      </c>
      <c r="U32" s="69">
        <f>COUNTIF(Assessment!$O27:$O32,tech!$A$16)</f>
        <v>0</v>
      </c>
      <c r="V32" s="69">
        <f>COUNTIF(Assessment!$O27:$O32,tech!$A$17)</f>
        <v>0</v>
      </c>
      <c r="W32" s="69"/>
    </row>
    <row r="33" spans="2:23" ht="7.5" customHeight="1" x14ac:dyDescent="0.25">
      <c r="C33" s="915"/>
      <c r="D33" s="81"/>
      <c r="E33" s="78"/>
      <c r="F33" s="173">
        <f>E32</f>
        <v>2</v>
      </c>
      <c r="G33" s="893"/>
      <c r="H33" s="898"/>
      <c r="I33" s="543"/>
      <c r="J33" s="543"/>
      <c r="K33" s="543"/>
      <c r="L33" s="543"/>
      <c r="M33" s="544"/>
      <c r="N33" s="893"/>
      <c r="P33" s="69"/>
      <c r="Q33" s="69"/>
      <c r="R33" s="69"/>
      <c r="S33" s="69"/>
      <c r="T33" s="69"/>
      <c r="U33" s="69"/>
      <c r="V33" s="69"/>
      <c r="W33" s="69"/>
    </row>
    <row r="34" spans="2:23" ht="23.25" x14ac:dyDescent="0.25">
      <c r="B34">
        <f>IF(Scoping!F22=tech!$A$5,0,1)</f>
        <v>1</v>
      </c>
      <c r="C34" s="912" t="str">
        <f>Assessment!C34</f>
        <v>1.3. Compliance</v>
      </c>
      <c r="D34" s="81">
        <f t="shared" si="17"/>
        <v>2</v>
      </c>
      <c r="E34" s="78">
        <f>Assessment!N35</f>
        <v>2</v>
      </c>
      <c r="F34" s="164" t="str">
        <f>IF(B34=0,tech!$B$9,VLOOKUP(E34,tech!$A$21:$B$26,2,0))</f>
        <v>Basic</v>
      </c>
      <c r="G34" s="892" t="str">
        <f t="shared" si="10"/>
        <v/>
      </c>
      <c r="H34" s="897" t="str">
        <f t="shared" si="11"/>
        <v/>
      </c>
      <c r="I34" s="896" t="str">
        <f t="shared" si="12"/>
        <v/>
      </c>
      <c r="J34" s="896">
        <f t="shared" si="13"/>
        <v>4</v>
      </c>
      <c r="K34" s="896" t="str">
        <f t="shared" si="14"/>
        <v/>
      </c>
      <c r="L34" s="896" t="str">
        <f t="shared" si="15"/>
        <v/>
      </c>
      <c r="M34" s="917" t="str">
        <f t="shared" si="16"/>
        <v/>
      </c>
      <c r="N34" s="892">
        <f t="shared" si="18"/>
        <v>4</v>
      </c>
      <c r="P34" s="69">
        <f>COUNTIF(Assessment!$O38:$O43,tech!$B$9)</f>
        <v>0</v>
      </c>
      <c r="Q34" s="69">
        <f>COUNTIF(Assessment!$O38:$O43,tech!$B$21)</f>
        <v>0</v>
      </c>
      <c r="R34" s="69">
        <f>COUNTIF(Assessment!$O38:$O43,tech!$A$13)</f>
        <v>0</v>
      </c>
      <c r="S34" s="69">
        <f>COUNTIF(Assessment!$O38:$O43,tech!$A$14)</f>
        <v>4</v>
      </c>
      <c r="T34" s="69">
        <f>COUNTIF(Assessment!$O38:$O43,tech!$A$15)</f>
        <v>0</v>
      </c>
      <c r="U34" s="69">
        <f>COUNTIF(Assessment!$O38:$O43,tech!$A$16)</f>
        <v>0</v>
      </c>
      <c r="V34" s="69">
        <f>COUNTIF(Assessment!$O38:$O43,tech!$A$17)</f>
        <v>0</v>
      </c>
      <c r="W34" s="69"/>
    </row>
    <row r="35" spans="2:23" ht="7.5" customHeight="1" x14ac:dyDescent="0.25">
      <c r="C35" s="915"/>
      <c r="D35" s="81"/>
      <c r="E35" s="78"/>
      <c r="F35" s="173">
        <f>E34</f>
        <v>2</v>
      </c>
      <c r="G35" s="893"/>
      <c r="H35" s="898"/>
      <c r="I35" s="543"/>
      <c r="J35" s="543"/>
      <c r="K35" s="543"/>
      <c r="L35" s="543"/>
      <c r="M35" s="544"/>
      <c r="N35" s="893"/>
      <c r="P35" s="69"/>
      <c r="Q35" s="69"/>
      <c r="R35" s="69"/>
      <c r="S35" s="69"/>
      <c r="T35" s="69"/>
      <c r="U35" s="69"/>
      <c r="V35" s="69"/>
      <c r="W35" s="69"/>
    </row>
    <row r="36" spans="2:23" ht="23.25" x14ac:dyDescent="0.25">
      <c r="B36">
        <f>IF(Scoping!F28=tech!$A$5,0,1)</f>
        <v>1</v>
      </c>
      <c r="C36" s="912" t="str">
        <f>Assessment!C45</f>
        <v>1.4. Processes and procedures</v>
      </c>
      <c r="D36" s="81">
        <f t="shared" si="17"/>
        <v>3</v>
      </c>
      <c r="E36" s="78">
        <f>Assessment!N46</f>
        <v>3</v>
      </c>
      <c r="F36" s="164" t="str">
        <f>IF(B36=0,tech!$B$9,VLOOKUP(E36,tech!$A$21:$B$26,2,0))</f>
        <v>Advanced</v>
      </c>
      <c r="G36" s="892" t="str">
        <f t="shared" si="10"/>
        <v/>
      </c>
      <c r="H36" s="897" t="str">
        <f t="shared" si="11"/>
        <v/>
      </c>
      <c r="I36" s="896" t="str">
        <f t="shared" si="12"/>
        <v/>
      </c>
      <c r="J36" s="896" t="str">
        <f t="shared" si="13"/>
        <v/>
      </c>
      <c r="K36" s="896">
        <f t="shared" si="14"/>
        <v>3</v>
      </c>
      <c r="L36" s="896">
        <f t="shared" si="15"/>
        <v>1</v>
      </c>
      <c r="M36" s="917">
        <f t="shared" si="16"/>
        <v>1</v>
      </c>
      <c r="N36" s="892">
        <f t="shared" si="18"/>
        <v>5</v>
      </c>
      <c r="P36" s="69">
        <f>COUNTIF(Assessment!$O49:$O54,tech!$B$9)</f>
        <v>0</v>
      </c>
      <c r="Q36" s="69">
        <f>COUNTIF(Assessment!$O49:$O54,tech!$B$21)</f>
        <v>0</v>
      </c>
      <c r="R36" s="69">
        <f>COUNTIF(Assessment!$O49:$O54,tech!$A$13)</f>
        <v>0</v>
      </c>
      <c r="S36" s="69">
        <f>COUNTIF(Assessment!$O49:$O54,tech!$A$14)</f>
        <v>0</v>
      </c>
      <c r="T36" s="69">
        <f>COUNTIF(Assessment!$O49:$O54,tech!$A$15)</f>
        <v>3</v>
      </c>
      <c r="U36" s="69">
        <f>COUNTIF(Assessment!$O49:$O54,tech!$A$16)</f>
        <v>1</v>
      </c>
      <c r="V36" s="69">
        <f>COUNTIF(Assessment!$O49:$O54,tech!$A$17)</f>
        <v>1</v>
      </c>
      <c r="W36" s="69"/>
    </row>
    <row r="37" spans="2:23" ht="7.5" customHeight="1" thickBot="1" x14ac:dyDescent="0.3">
      <c r="C37" s="913"/>
      <c r="D37" s="81"/>
      <c r="E37" s="78"/>
      <c r="F37" s="173">
        <f>E36</f>
        <v>3</v>
      </c>
      <c r="G37" s="893"/>
      <c r="H37" s="898"/>
      <c r="I37" s="543"/>
      <c r="J37" s="543"/>
      <c r="K37" s="543"/>
      <c r="L37" s="543"/>
      <c r="M37" s="544"/>
      <c r="N37" s="893"/>
      <c r="P37" s="69"/>
      <c r="Q37" s="69"/>
      <c r="R37" s="69"/>
      <c r="S37" s="69"/>
      <c r="T37" s="69"/>
      <c r="U37" s="69"/>
      <c r="V37" s="69"/>
      <c r="W37" s="69"/>
    </row>
    <row r="38" spans="2:23" ht="23.25" x14ac:dyDescent="0.25">
      <c r="B38">
        <f>IF(Scoping!F34=tech!$A$5,0,1)</f>
        <v>1</v>
      </c>
      <c r="C38" s="911" t="str">
        <f>Assessment!C61</f>
        <v>2.1. Key Management</v>
      </c>
      <c r="D38" s="81">
        <f t="shared" si="17"/>
        <v>3</v>
      </c>
      <c r="E38" s="78">
        <f>Assessment!N62</f>
        <v>3</v>
      </c>
      <c r="F38" s="164" t="str">
        <f>IF(B38=0,tech!$B$9,VLOOKUP(E38,tech!$A$21:$B$26,2,0))</f>
        <v>Advanced</v>
      </c>
      <c r="G38" s="892" t="str">
        <f t="shared" si="10"/>
        <v/>
      </c>
      <c r="H38" s="897" t="str">
        <f t="shared" si="11"/>
        <v/>
      </c>
      <c r="I38" s="896" t="str">
        <f t="shared" si="12"/>
        <v/>
      </c>
      <c r="J38" s="896">
        <f t="shared" si="13"/>
        <v>2</v>
      </c>
      <c r="K38" s="896">
        <f t="shared" si="14"/>
        <v>1</v>
      </c>
      <c r="L38" s="896">
        <f t="shared" si="15"/>
        <v>3</v>
      </c>
      <c r="M38" s="917" t="str">
        <f t="shared" si="16"/>
        <v/>
      </c>
      <c r="N38" s="892">
        <f t="shared" si="18"/>
        <v>6</v>
      </c>
      <c r="P38" s="69">
        <f>COUNTIF(Assessment!$O65:$O70,tech!$B$9)</f>
        <v>0</v>
      </c>
      <c r="Q38" s="69">
        <f>COUNTIF(Assessment!$O65:$O70,tech!$B$21)</f>
        <v>0</v>
      </c>
      <c r="R38" s="69">
        <f>COUNTIF(Assessment!$O65:$O70,tech!$A$13)</f>
        <v>0</v>
      </c>
      <c r="S38" s="69">
        <f>COUNTIF(Assessment!$O65:$O70,tech!$A$14)</f>
        <v>2</v>
      </c>
      <c r="T38" s="69">
        <f>COUNTIF(Assessment!$O65:$O70,tech!$A$15)</f>
        <v>1</v>
      </c>
      <c r="U38" s="69">
        <f>COUNTIF(Assessment!$O65:$O70,tech!$A$16)</f>
        <v>3</v>
      </c>
      <c r="V38" s="69">
        <f>COUNTIF(Assessment!$O65:$O70,tech!$A$17)</f>
        <v>0</v>
      </c>
      <c r="W38" s="69"/>
    </row>
    <row r="39" spans="2:23" ht="7.5" customHeight="1" x14ac:dyDescent="0.25">
      <c r="C39" s="910"/>
      <c r="D39" s="81"/>
      <c r="E39" s="78"/>
      <c r="F39" s="173">
        <f>E38</f>
        <v>3</v>
      </c>
      <c r="G39" s="893"/>
      <c r="H39" s="898"/>
      <c r="I39" s="543"/>
      <c r="J39" s="543"/>
      <c r="K39" s="543"/>
      <c r="L39" s="543"/>
      <c r="M39" s="544"/>
      <c r="N39" s="893"/>
      <c r="P39" s="69"/>
      <c r="Q39" s="69"/>
      <c r="R39" s="69"/>
      <c r="S39" s="69"/>
      <c r="T39" s="69"/>
      <c r="U39" s="69"/>
      <c r="V39" s="69"/>
      <c r="W39" s="69"/>
    </row>
    <row r="40" spans="2:23" ht="23.25" x14ac:dyDescent="0.25">
      <c r="B40">
        <f>IF(Scoping!F40=tech!$A$5,0,1)</f>
        <v>1</v>
      </c>
      <c r="C40" s="908" t="str">
        <f>Assessment!C72</f>
        <v>2.2. Certificate Management</v>
      </c>
      <c r="D40" s="81">
        <f t="shared" si="17"/>
        <v>2</v>
      </c>
      <c r="E40" s="78">
        <f>Assessment!N73</f>
        <v>2</v>
      </c>
      <c r="F40" s="164" t="str">
        <f>IF(B40=0,tech!$B$9,VLOOKUP(E40,tech!$A$21:$B$26,2,0))</f>
        <v>Basic</v>
      </c>
      <c r="G40" s="892" t="str">
        <f t="shared" si="10"/>
        <v/>
      </c>
      <c r="H40" s="897" t="str">
        <f t="shared" si="11"/>
        <v/>
      </c>
      <c r="I40" s="896">
        <f t="shared" si="12"/>
        <v>1</v>
      </c>
      <c r="J40" s="896">
        <f t="shared" si="13"/>
        <v>3</v>
      </c>
      <c r="K40" s="896">
        <f t="shared" si="14"/>
        <v>1</v>
      </c>
      <c r="L40" s="896">
        <f t="shared" si="15"/>
        <v>1</v>
      </c>
      <c r="M40" s="917">
        <f t="shared" si="16"/>
        <v>1</v>
      </c>
      <c r="N40" s="892">
        <f t="shared" si="18"/>
        <v>7</v>
      </c>
      <c r="P40" s="69">
        <f>COUNTIF(Assessment!$O76:$O82,tech!$B$9)</f>
        <v>0</v>
      </c>
      <c r="Q40" s="69">
        <f>COUNTIF(Assessment!$O76:$O82,tech!$B$21)</f>
        <v>0</v>
      </c>
      <c r="R40" s="69">
        <f>COUNTIF(Assessment!$O76:$O82,tech!$A$13)</f>
        <v>1</v>
      </c>
      <c r="S40" s="69">
        <f>COUNTIF(Assessment!$O76:$O82,tech!$A$14)</f>
        <v>3</v>
      </c>
      <c r="T40" s="69">
        <f>COUNTIF(Assessment!$O76:$O82,tech!$A$15)</f>
        <v>1</v>
      </c>
      <c r="U40" s="69">
        <f>COUNTIF(Assessment!$O76:$O82,tech!$A$16)</f>
        <v>1</v>
      </c>
      <c r="V40" s="69">
        <f>COUNTIF(Assessment!$O76:$O82,tech!$A$17)</f>
        <v>1</v>
      </c>
      <c r="W40" s="69"/>
    </row>
    <row r="41" spans="2:23" ht="7.5" customHeight="1" x14ac:dyDescent="0.25">
      <c r="C41" s="910"/>
      <c r="D41" s="81"/>
      <c r="E41" s="78"/>
      <c r="F41" s="173">
        <f>E40</f>
        <v>2</v>
      </c>
      <c r="G41" s="893"/>
      <c r="H41" s="898"/>
      <c r="I41" s="543"/>
      <c r="J41" s="543"/>
      <c r="K41" s="543"/>
      <c r="L41" s="543"/>
      <c r="M41" s="544"/>
      <c r="N41" s="893"/>
      <c r="P41" s="69"/>
      <c r="Q41" s="69"/>
      <c r="R41" s="69"/>
      <c r="S41" s="69"/>
      <c r="T41" s="69"/>
      <c r="U41" s="69"/>
      <c r="V41" s="69"/>
      <c r="W41" s="69"/>
    </row>
    <row r="42" spans="2:23" ht="23.25" x14ac:dyDescent="0.25">
      <c r="B42">
        <f>IF(Scoping!F47=tech!$A$5,0,1)</f>
        <v>1</v>
      </c>
      <c r="C42" s="908" t="str">
        <f>Assessment!C84</f>
        <v>2.3. Infrastructure Management</v>
      </c>
      <c r="D42" s="81">
        <f t="shared" si="17"/>
        <v>3</v>
      </c>
      <c r="E42" s="78">
        <f>Assessment!N85</f>
        <v>3</v>
      </c>
      <c r="F42" s="164" t="str">
        <f>IF(B42=0,tech!$B$9,VLOOKUP(E42,tech!$A$21:$B$26,2,0))</f>
        <v>Advanced</v>
      </c>
      <c r="G42" s="892" t="str">
        <f t="shared" si="10"/>
        <v/>
      </c>
      <c r="H42" s="897" t="str">
        <f t="shared" si="11"/>
        <v/>
      </c>
      <c r="I42" s="896" t="str">
        <f t="shared" si="12"/>
        <v/>
      </c>
      <c r="J42" s="896">
        <f t="shared" si="13"/>
        <v>2</v>
      </c>
      <c r="K42" s="896">
        <f t="shared" si="14"/>
        <v>1</v>
      </c>
      <c r="L42" s="896">
        <f t="shared" si="15"/>
        <v>2</v>
      </c>
      <c r="M42" s="917" t="str">
        <f t="shared" si="16"/>
        <v/>
      </c>
      <c r="N42" s="892">
        <f t="shared" si="18"/>
        <v>5</v>
      </c>
      <c r="P42" s="69">
        <f>COUNTIF(Assessment!$O88:$O93,tech!$B$9)</f>
        <v>0</v>
      </c>
      <c r="Q42" s="69">
        <f>COUNTIF(Assessment!$O88:$O93,tech!$B$21)</f>
        <v>0</v>
      </c>
      <c r="R42" s="69">
        <f>COUNTIF(Assessment!$O88:$O93,tech!$A$13)</f>
        <v>0</v>
      </c>
      <c r="S42" s="69">
        <f>COUNTIF(Assessment!$O88:$O93,tech!$A$14)</f>
        <v>2</v>
      </c>
      <c r="T42" s="69">
        <f>COUNTIF(Assessment!$O88:$O93,tech!$A$15)</f>
        <v>1</v>
      </c>
      <c r="U42" s="69">
        <f>COUNTIF(Assessment!$O88:$O93,tech!$A$16)</f>
        <v>2</v>
      </c>
      <c r="V42" s="69">
        <f>COUNTIF(Assessment!$O88:$O93,tech!$A$17)</f>
        <v>0</v>
      </c>
      <c r="W42" s="69"/>
    </row>
    <row r="43" spans="2:23" ht="7.5" customHeight="1" x14ac:dyDescent="0.25">
      <c r="C43" s="910"/>
      <c r="D43" s="81"/>
      <c r="E43" s="78"/>
      <c r="F43" s="173">
        <f>E42</f>
        <v>3</v>
      </c>
      <c r="G43" s="893"/>
      <c r="H43" s="898"/>
      <c r="I43" s="543"/>
      <c r="J43" s="543"/>
      <c r="K43" s="543"/>
      <c r="L43" s="543"/>
      <c r="M43" s="544"/>
      <c r="N43" s="893"/>
      <c r="P43" s="69"/>
      <c r="Q43" s="69"/>
      <c r="R43" s="69"/>
      <c r="S43" s="69"/>
      <c r="T43" s="69"/>
      <c r="U43" s="69"/>
      <c r="V43" s="69"/>
      <c r="W43" s="69"/>
    </row>
    <row r="44" spans="2:23" ht="23.25" x14ac:dyDescent="0.25">
      <c r="B44">
        <f>IF(Scoping!F53=tech!$A$5,0,1)</f>
        <v>1</v>
      </c>
      <c r="C44" s="908" t="str">
        <f>Assessment!C95</f>
        <v>2.4. Change Management and Agility</v>
      </c>
      <c r="D44" s="81">
        <f t="shared" si="17"/>
        <v>2</v>
      </c>
      <c r="E44" s="78">
        <f>Assessment!N96</f>
        <v>2</v>
      </c>
      <c r="F44" s="164" t="str">
        <f>IF(B44=0,tech!$B$9,VLOOKUP(E44,tech!$A$21:$B$26,2,0))</f>
        <v>Basic</v>
      </c>
      <c r="G44" s="892" t="str">
        <f t="shared" si="10"/>
        <v/>
      </c>
      <c r="H44" s="897" t="str">
        <f t="shared" si="11"/>
        <v/>
      </c>
      <c r="I44" s="896" t="str">
        <f t="shared" si="12"/>
        <v/>
      </c>
      <c r="J44" s="896">
        <f t="shared" si="13"/>
        <v>2</v>
      </c>
      <c r="K44" s="896">
        <f t="shared" si="14"/>
        <v>2</v>
      </c>
      <c r="L44" s="896">
        <f t="shared" si="15"/>
        <v>1</v>
      </c>
      <c r="M44" s="917" t="str">
        <f t="shared" si="16"/>
        <v/>
      </c>
      <c r="N44" s="892">
        <f t="shared" si="18"/>
        <v>5</v>
      </c>
      <c r="P44" s="69">
        <f>COUNTIF(Assessment!$O99:$O104,tech!$B$9)</f>
        <v>0</v>
      </c>
      <c r="Q44" s="69">
        <f>COUNTIF(Assessment!$O99:$O104,tech!$B$21)</f>
        <v>0</v>
      </c>
      <c r="R44" s="69">
        <f>COUNTIF(Assessment!$O99:$O104,tech!$A$13)</f>
        <v>0</v>
      </c>
      <c r="S44" s="69">
        <f>COUNTIF(Assessment!$O99:$O104,tech!$A$14)</f>
        <v>2</v>
      </c>
      <c r="T44" s="69">
        <f>COUNTIF(Assessment!$O99:$O104,tech!$A$15)</f>
        <v>2</v>
      </c>
      <c r="U44" s="69">
        <f>COUNTIF(Assessment!$O99:$O104,tech!$A$16)</f>
        <v>1</v>
      </c>
      <c r="V44" s="69">
        <f>COUNTIF(Assessment!$O99:$O104,tech!$A$17)</f>
        <v>0</v>
      </c>
      <c r="W44" s="69"/>
    </row>
    <row r="45" spans="2:23" ht="7.5" customHeight="1" thickBot="1" x14ac:dyDescent="0.3">
      <c r="C45" s="909"/>
      <c r="D45" s="81"/>
      <c r="E45" s="78"/>
      <c r="F45" s="173">
        <f>E44</f>
        <v>2</v>
      </c>
      <c r="G45" s="893"/>
      <c r="H45" s="898"/>
      <c r="I45" s="543"/>
      <c r="J45" s="543"/>
      <c r="K45" s="543"/>
      <c r="L45" s="543"/>
      <c r="M45" s="544"/>
      <c r="N45" s="893"/>
      <c r="P45" s="69"/>
      <c r="Q45" s="69"/>
      <c r="R45" s="69"/>
      <c r="S45" s="69"/>
      <c r="T45" s="69"/>
      <c r="U45" s="69"/>
      <c r="V45" s="69"/>
      <c r="W45" s="69"/>
    </row>
    <row r="46" spans="2:23" ht="23.25" x14ac:dyDescent="0.25">
      <c r="B46">
        <f>IF(Scoping!F59=tech!$A$5,0,1)</f>
        <v>1</v>
      </c>
      <c r="C46" s="925" t="str">
        <f>Assessment!C111</f>
        <v>3.1. Resilience</v>
      </c>
      <c r="D46" s="81">
        <f t="shared" si="17"/>
        <v>3</v>
      </c>
      <c r="E46" s="78">
        <f>Assessment!N112</f>
        <v>3</v>
      </c>
      <c r="F46" s="164" t="str">
        <f>IF(B46=0,tech!$B$9,VLOOKUP(E46,tech!$A$21:$B$26,2,0))</f>
        <v>Advanced</v>
      </c>
      <c r="G46" s="892" t="str">
        <f t="shared" si="10"/>
        <v/>
      </c>
      <c r="H46" s="897" t="str">
        <f t="shared" si="11"/>
        <v/>
      </c>
      <c r="I46" s="896">
        <f t="shared" si="12"/>
        <v>1</v>
      </c>
      <c r="J46" s="896" t="str">
        <f t="shared" si="13"/>
        <v/>
      </c>
      <c r="K46" s="896">
        <f t="shared" si="14"/>
        <v>2</v>
      </c>
      <c r="L46" s="896">
        <f t="shared" si="15"/>
        <v>2</v>
      </c>
      <c r="M46" s="917">
        <f t="shared" si="16"/>
        <v>1</v>
      </c>
      <c r="N46" s="892">
        <f t="shared" si="18"/>
        <v>6</v>
      </c>
      <c r="P46" s="69">
        <f>COUNTIF(Assessment!$O115:$O120,tech!$B$9)</f>
        <v>0</v>
      </c>
      <c r="Q46" s="69">
        <f>COUNTIF(Assessment!$O115:$O120,tech!$B$21)</f>
        <v>0</v>
      </c>
      <c r="R46" s="69">
        <f>COUNTIF(Assessment!$O115:$O120,tech!$A$13)</f>
        <v>1</v>
      </c>
      <c r="S46" s="69">
        <f>COUNTIF(Assessment!$O115:$O120,tech!$A$14)</f>
        <v>0</v>
      </c>
      <c r="T46" s="69">
        <f>COUNTIF(Assessment!$O115:$O120,tech!$A$15)</f>
        <v>2</v>
      </c>
      <c r="U46" s="69">
        <f>COUNTIF(Assessment!$O115:$O120,tech!$A$16)</f>
        <v>2</v>
      </c>
      <c r="V46" s="69">
        <f>COUNTIF(Assessment!$O115:$O120,tech!$A$17)</f>
        <v>1</v>
      </c>
      <c r="W46" s="69"/>
    </row>
    <row r="47" spans="2:23" ht="7.5" customHeight="1" x14ac:dyDescent="0.25">
      <c r="C47" s="924"/>
      <c r="D47" s="81"/>
      <c r="E47" s="78"/>
      <c r="F47" s="173">
        <f>E46</f>
        <v>3</v>
      </c>
      <c r="G47" s="893"/>
      <c r="H47" s="898"/>
      <c r="I47" s="543"/>
      <c r="J47" s="543"/>
      <c r="K47" s="543"/>
      <c r="L47" s="543"/>
      <c r="M47" s="544"/>
      <c r="N47" s="893"/>
      <c r="P47" s="69"/>
      <c r="Q47" s="69"/>
      <c r="R47" s="69"/>
      <c r="S47" s="69"/>
      <c r="T47" s="69"/>
      <c r="U47" s="69"/>
      <c r="V47" s="69"/>
      <c r="W47" s="69"/>
    </row>
    <row r="48" spans="2:23" ht="23.25" x14ac:dyDescent="0.25">
      <c r="B48">
        <f>IF(Scoping!F65=tech!$A$5,0,1)</f>
        <v>1</v>
      </c>
      <c r="C48" s="922" t="str">
        <f>Assessment!C122</f>
        <v>3.2. Interoperability</v>
      </c>
      <c r="D48" s="81">
        <f t="shared" si="17"/>
        <v>3</v>
      </c>
      <c r="E48" s="78">
        <f>Assessment!N123</f>
        <v>3</v>
      </c>
      <c r="F48" s="164" t="str">
        <f>IF(B48=0,tech!$B$9,VLOOKUP(E48,tech!$A$21:$B$26,2,0))</f>
        <v>Advanced</v>
      </c>
      <c r="G48" s="892" t="str">
        <f t="shared" si="10"/>
        <v/>
      </c>
      <c r="H48" s="897" t="str">
        <f t="shared" si="11"/>
        <v/>
      </c>
      <c r="I48" s="896" t="str">
        <f t="shared" si="12"/>
        <v/>
      </c>
      <c r="J48" s="896" t="str">
        <f t="shared" si="13"/>
        <v/>
      </c>
      <c r="K48" s="896">
        <f t="shared" si="14"/>
        <v>2</v>
      </c>
      <c r="L48" s="896">
        <f t="shared" si="15"/>
        <v>1</v>
      </c>
      <c r="M48" s="917" t="str">
        <f t="shared" si="16"/>
        <v/>
      </c>
      <c r="N48" s="892">
        <f t="shared" si="18"/>
        <v>3</v>
      </c>
      <c r="P48" s="69">
        <f>COUNTIF(Assessment!$O126:$O131,tech!$B$9)</f>
        <v>0</v>
      </c>
      <c r="Q48" s="69">
        <f>COUNTIF(Assessment!$O126:$O131,tech!$B$21)</f>
        <v>0</v>
      </c>
      <c r="R48" s="69">
        <f>COUNTIF(Assessment!$O126:$O131,tech!$A$13)</f>
        <v>0</v>
      </c>
      <c r="S48" s="69">
        <f>COUNTIF(Assessment!$O126:$O131,tech!$A$14)</f>
        <v>0</v>
      </c>
      <c r="T48" s="69">
        <f>COUNTIF(Assessment!$O126:$O131,tech!$A$15)</f>
        <v>2</v>
      </c>
      <c r="U48" s="69">
        <f>COUNTIF(Assessment!$O126:$O131,tech!$A$16)</f>
        <v>1</v>
      </c>
      <c r="V48" s="69">
        <f>COUNTIF(Assessment!$O126:$O131,tech!$A$17)</f>
        <v>0</v>
      </c>
      <c r="W48" s="69"/>
    </row>
    <row r="49" spans="2:23" ht="7.5" customHeight="1" x14ac:dyDescent="0.25">
      <c r="C49" s="924"/>
      <c r="D49" s="81"/>
      <c r="E49" s="78"/>
      <c r="F49" s="173">
        <f>E48</f>
        <v>3</v>
      </c>
      <c r="G49" s="893"/>
      <c r="H49" s="898"/>
      <c r="I49" s="543"/>
      <c r="J49" s="543"/>
      <c r="K49" s="543"/>
      <c r="L49" s="543"/>
      <c r="M49" s="544"/>
      <c r="N49" s="893"/>
      <c r="P49" s="69"/>
      <c r="Q49" s="69"/>
      <c r="R49" s="69"/>
      <c r="S49" s="69"/>
      <c r="T49" s="69"/>
      <c r="U49" s="69"/>
      <c r="V49" s="69"/>
      <c r="W49" s="69"/>
    </row>
    <row r="50" spans="2:23" ht="23.25" x14ac:dyDescent="0.25">
      <c r="B50">
        <f>IF(Scoping!F71=tech!$A$5,0,1)</f>
        <v>1</v>
      </c>
      <c r="C50" s="922" t="str">
        <f>Assessment!C133</f>
        <v>3.3. Monitoring and Auditing</v>
      </c>
      <c r="D50" s="81">
        <f t="shared" si="17"/>
        <v>3</v>
      </c>
      <c r="E50" s="78">
        <f>Assessment!N134</f>
        <v>3</v>
      </c>
      <c r="F50" s="164" t="str">
        <f>IF(B50=0,tech!$B$9,VLOOKUP(E50,tech!$A$21:$B$26,2,0))</f>
        <v>Advanced</v>
      </c>
      <c r="G50" s="892" t="str">
        <f t="shared" si="10"/>
        <v/>
      </c>
      <c r="H50" s="897" t="str">
        <f t="shared" si="11"/>
        <v/>
      </c>
      <c r="I50" s="896" t="str">
        <f t="shared" si="12"/>
        <v/>
      </c>
      <c r="J50" s="896" t="str">
        <f t="shared" si="13"/>
        <v/>
      </c>
      <c r="K50" s="896">
        <f t="shared" si="14"/>
        <v>6</v>
      </c>
      <c r="L50" s="896" t="str">
        <f t="shared" si="15"/>
        <v/>
      </c>
      <c r="M50" s="917" t="str">
        <f t="shared" si="16"/>
        <v/>
      </c>
      <c r="N50" s="892">
        <f t="shared" si="18"/>
        <v>6</v>
      </c>
      <c r="P50" s="69">
        <f>COUNTIF(Assessment!$O137:$O142,tech!$B$9)</f>
        <v>0</v>
      </c>
      <c r="Q50" s="69">
        <f>COUNTIF(Assessment!$O137:$O142,tech!$B$21)</f>
        <v>0</v>
      </c>
      <c r="R50" s="69">
        <f>COUNTIF(Assessment!$O137:$O142,tech!$A$13)</f>
        <v>0</v>
      </c>
      <c r="S50" s="69">
        <f>COUNTIF(Assessment!$O137:$O142,tech!$A$14)</f>
        <v>0</v>
      </c>
      <c r="T50" s="69">
        <f>COUNTIF(Assessment!$O137:$O142,tech!$A$15)</f>
        <v>6</v>
      </c>
      <c r="U50" s="69">
        <f>COUNTIF(Assessment!$O137:$O142,tech!$A$16)</f>
        <v>0</v>
      </c>
      <c r="V50" s="69">
        <f>COUNTIF(Assessment!$O137:$O142,tech!$A$17)</f>
        <v>0</v>
      </c>
      <c r="W50" s="69"/>
    </row>
    <row r="51" spans="2:23" ht="7.5" customHeight="1" x14ac:dyDescent="0.25">
      <c r="C51" s="924"/>
      <c r="D51" s="81"/>
      <c r="E51" s="78"/>
      <c r="F51" s="173">
        <f>E50</f>
        <v>3</v>
      </c>
      <c r="G51" s="893"/>
      <c r="H51" s="898"/>
      <c r="I51" s="543"/>
      <c r="J51" s="543"/>
      <c r="K51" s="543"/>
      <c r="L51" s="543"/>
      <c r="M51" s="544"/>
      <c r="N51" s="893"/>
      <c r="P51" s="69"/>
      <c r="Q51" s="69"/>
      <c r="R51" s="69"/>
      <c r="S51" s="69"/>
      <c r="T51" s="69"/>
      <c r="U51" s="69"/>
      <c r="V51" s="69"/>
      <c r="W51" s="69"/>
    </row>
    <row r="52" spans="2:23" ht="23.25" x14ac:dyDescent="0.25">
      <c r="B52">
        <f>IF(Scoping!F77=tech!$A$5,0,1)</f>
        <v>1</v>
      </c>
      <c r="C52" s="922" t="str">
        <f>Assessment!C144</f>
        <v>3.4. Automation</v>
      </c>
      <c r="D52" s="81">
        <f t="shared" si="17"/>
        <v>2</v>
      </c>
      <c r="E52" s="78">
        <f>Assessment!N145</f>
        <v>2</v>
      </c>
      <c r="F52" s="164" t="str">
        <f>IF(B52=0,tech!$B$9,VLOOKUP(E52,tech!$A$21:$B$26,2,0))</f>
        <v>Basic</v>
      </c>
      <c r="G52" s="892" t="str">
        <f t="shared" si="10"/>
        <v/>
      </c>
      <c r="H52" s="897" t="str">
        <f t="shared" si="11"/>
        <v/>
      </c>
      <c r="I52" s="896" t="str">
        <f t="shared" si="12"/>
        <v/>
      </c>
      <c r="J52" s="896">
        <f t="shared" si="13"/>
        <v>2</v>
      </c>
      <c r="K52" s="896" t="str">
        <f t="shared" si="14"/>
        <v/>
      </c>
      <c r="L52" s="896">
        <f t="shared" si="15"/>
        <v>1</v>
      </c>
      <c r="M52" s="917" t="str">
        <f t="shared" si="16"/>
        <v/>
      </c>
      <c r="N52" s="892">
        <f t="shared" si="18"/>
        <v>3</v>
      </c>
      <c r="P52" s="69">
        <f>COUNTIF(Assessment!$O148:$O153,tech!$B$9)</f>
        <v>0</v>
      </c>
      <c r="Q52" s="69">
        <f>COUNTIF(Assessment!$O148:$O153,tech!$B$21)</f>
        <v>0</v>
      </c>
      <c r="R52" s="69">
        <f>COUNTIF(Assessment!$O148:$O153,tech!$A$13)</f>
        <v>0</v>
      </c>
      <c r="S52" s="69">
        <f>COUNTIF(Assessment!$O148:$O153,tech!$A$14)</f>
        <v>2</v>
      </c>
      <c r="T52" s="69">
        <f>COUNTIF(Assessment!$O148:$O153,tech!$A$15)</f>
        <v>0</v>
      </c>
      <c r="U52" s="69">
        <f>COUNTIF(Assessment!$O148:$O153,tech!$A$16)</f>
        <v>1</v>
      </c>
      <c r="V52" s="69">
        <f>COUNTIF(Assessment!$O148:$O153,tech!$A$17)</f>
        <v>0</v>
      </c>
      <c r="W52" s="69"/>
    </row>
    <row r="53" spans="2:23" ht="7.5" customHeight="1" thickBot="1" x14ac:dyDescent="0.3">
      <c r="C53" s="923"/>
      <c r="D53" s="81"/>
      <c r="E53" s="78"/>
      <c r="F53" s="173">
        <f>E52</f>
        <v>2</v>
      </c>
      <c r="G53" s="893"/>
      <c r="H53" s="898"/>
      <c r="I53" s="543"/>
      <c r="J53" s="543"/>
      <c r="K53" s="543"/>
      <c r="L53" s="543"/>
      <c r="M53" s="544"/>
      <c r="N53" s="893"/>
      <c r="P53" s="69"/>
      <c r="Q53" s="69"/>
      <c r="R53" s="69"/>
      <c r="S53" s="69"/>
      <c r="T53" s="69"/>
      <c r="U53" s="69"/>
      <c r="V53" s="69"/>
      <c r="W53" s="69"/>
    </row>
    <row r="54" spans="2:23" ht="23.25" x14ac:dyDescent="0.25">
      <c r="B54">
        <f>IF(Scoping!F83=tech!$A$5,0,1)</f>
        <v>1</v>
      </c>
      <c r="C54" s="920" t="str">
        <f>Assessment!C160</f>
        <v>4.1. Sourcing</v>
      </c>
      <c r="D54" s="81">
        <f t="shared" si="17"/>
        <v>3</v>
      </c>
      <c r="E54" s="78">
        <f>Assessment!N161</f>
        <v>3</v>
      </c>
      <c r="F54" s="164" t="str">
        <f>IF(B54=0,tech!$B$9,VLOOKUP(E54,tech!$A$21:$B$26,2,0))</f>
        <v>Advanced</v>
      </c>
      <c r="G54" s="892" t="str">
        <f t="shared" si="10"/>
        <v/>
      </c>
      <c r="H54" s="897" t="str">
        <f t="shared" si="11"/>
        <v/>
      </c>
      <c r="I54" s="896">
        <f t="shared" si="12"/>
        <v>1</v>
      </c>
      <c r="J54" s="896" t="str">
        <f t="shared" si="13"/>
        <v/>
      </c>
      <c r="K54" s="896" t="str">
        <f t="shared" si="14"/>
        <v/>
      </c>
      <c r="L54" s="896" t="str">
        <f t="shared" si="15"/>
        <v/>
      </c>
      <c r="M54" s="917">
        <f t="shared" si="16"/>
        <v>3</v>
      </c>
      <c r="N54" s="892">
        <f t="shared" si="18"/>
        <v>4</v>
      </c>
      <c r="P54" s="69">
        <f>COUNTIF(Assessment!$O164:$O167,tech!$B$9)</f>
        <v>0</v>
      </c>
      <c r="Q54" s="69">
        <f>COUNTIF(Assessment!$O164:$O167,tech!$B$21)</f>
        <v>0</v>
      </c>
      <c r="R54" s="69">
        <f>COUNTIF(Assessment!$O164:$O167,tech!$A$13)</f>
        <v>1</v>
      </c>
      <c r="S54" s="69">
        <f>COUNTIF(Assessment!$O164:$O167,tech!$A$14)</f>
        <v>0</v>
      </c>
      <c r="T54" s="69">
        <f>COUNTIF(Assessment!$O164:$O167,tech!$A$15)</f>
        <v>0</v>
      </c>
      <c r="U54" s="69">
        <f>COUNTIF(Assessment!$O164:$O167,tech!$A$16)</f>
        <v>0</v>
      </c>
      <c r="V54" s="69">
        <f>COUNTIF(Assessment!$O164:$O167,tech!$A$17)</f>
        <v>3</v>
      </c>
      <c r="W54" s="69"/>
    </row>
    <row r="55" spans="2:23" ht="7.5" customHeight="1" x14ac:dyDescent="0.25">
      <c r="C55" s="921"/>
      <c r="D55" s="81"/>
      <c r="E55" s="78"/>
      <c r="F55" s="173">
        <f>E54</f>
        <v>3</v>
      </c>
      <c r="G55" s="893"/>
      <c r="H55" s="898"/>
      <c r="I55" s="543"/>
      <c r="J55" s="543"/>
      <c r="K55" s="543"/>
      <c r="L55" s="543"/>
      <c r="M55" s="544"/>
      <c r="N55" s="893"/>
      <c r="P55" s="69"/>
      <c r="Q55" s="69"/>
      <c r="R55" s="69"/>
      <c r="S55" s="69"/>
      <c r="T55" s="69"/>
      <c r="U55" s="69"/>
      <c r="V55" s="69"/>
      <c r="W55" s="69"/>
    </row>
    <row r="56" spans="2:23" ht="23.25" x14ac:dyDescent="0.25">
      <c r="B56">
        <f>IF(Scoping!F87=tech!$A$5,0,1)</f>
        <v>1</v>
      </c>
      <c r="C56" s="918" t="str">
        <f>Assessment!C169</f>
        <v>4.2. Knowledge and Training</v>
      </c>
      <c r="D56" s="81">
        <f t="shared" si="17"/>
        <v>4</v>
      </c>
      <c r="E56" s="78">
        <f>Assessment!N170</f>
        <v>4</v>
      </c>
      <c r="F56" s="164" t="str">
        <f>IF(B56=0,tech!$B$9,VLOOKUP(E56,tech!$A$21:$B$26,2,0))</f>
        <v>Managed</v>
      </c>
      <c r="G56" s="892" t="str">
        <f t="shared" si="10"/>
        <v/>
      </c>
      <c r="H56" s="897" t="str">
        <f t="shared" si="11"/>
        <v/>
      </c>
      <c r="I56" s="896" t="str">
        <f t="shared" si="12"/>
        <v/>
      </c>
      <c r="J56" s="896" t="str">
        <f t="shared" si="13"/>
        <v/>
      </c>
      <c r="K56" s="896" t="str">
        <f t="shared" si="14"/>
        <v/>
      </c>
      <c r="L56" s="896">
        <f t="shared" si="15"/>
        <v>4</v>
      </c>
      <c r="M56" s="917">
        <f t="shared" si="16"/>
        <v>1</v>
      </c>
      <c r="N56" s="892">
        <f t="shared" si="18"/>
        <v>5</v>
      </c>
      <c r="P56" s="69">
        <f>COUNTIF(Assessment!$O173:$O177,tech!$B$9)</f>
        <v>0</v>
      </c>
      <c r="Q56" s="69">
        <f>COUNTIF(Assessment!$O173:$O177,tech!$B$21)</f>
        <v>0</v>
      </c>
      <c r="R56" s="69">
        <f>COUNTIF(Assessment!$O173:$O177,tech!$A$13)</f>
        <v>0</v>
      </c>
      <c r="S56" s="69">
        <f>COUNTIF(Assessment!$O173:$O177,tech!$A$14)</f>
        <v>0</v>
      </c>
      <c r="T56" s="69">
        <f>COUNTIF(Assessment!$O173:$O177,tech!$A$15)</f>
        <v>0</v>
      </c>
      <c r="U56" s="69">
        <f>COUNTIF(Assessment!$O173:$O177,tech!$A$16)</f>
        <v>4</v>
      </c>
      <c r="V56" s="69">
        <f>COUNTIF(Assessment!$O173:$O177,tech!$A$17)</f>
        <v>1</v>
      </c>
      <c r="W56" s="69"/>
    </row>
    <row r="57" spans="2:23" ht="7.5" customHeight="1" x14ac:dyDescent="0.25">
      <c r="C57" s="921"/>
      <c r="D57" s="81"/>
      <c r="E57" s="78"/>
      <c r="F57" s="173">
        <f>E56</f>
        <v>4</v>
      </c>
      <c r="G57" s="893"/>
      <c r="H57" s="898"/>
      <c r="I57" s="543"/>
      <c r="J57" s="543"/>
      <c r="K57" s="543"/>
      <c r="L57" s="543"/>
      <c r="M57" s="544"/>
      <c r="N57" s="893"/>
      <c r="P57" s="69"/>
      <c r="Q57" s="69"/>
      <c r="R57" s="69"/>
      <c r="S57" s="69"/>
      <c r="T57" s="69"/>
      <c r="U57" s="69"/>
      <c r="V57" s="69"/>
      <c r="W57" s="69"/>
    </row>
    <row r="58" spans="2:23" ht="23.25" x14ac:dyDescent="0.25">
      <c r="B58">
        <f>IF(Scoping!F92=tech!$A$5,0,1)</f>
        <v>1</v>
      </c>
      <c r="C58" s="918" t="str">
        <f>Assessment!C179</f>
        <v>4.3. Awareness</v>
      </c>
      <c r="D58" s="162">
        <f t="shared" si="17"/>
        <v>3</v>
      </c>
      <c r="E58" s="163">
        <f>Assessment!N180</f>
        <v>3</v>
      </c>
      <c r="F58" s="164" t="str">
        <f>IF(B58=0,tech!$B$9,VLOOKUP(E58,tech!$A$21:$B$26,2,0))</f>
        <v>Advanced</v>
      </c>
      <c r="G58" s="166" t="str">
        <f t="shared" si="10"/>
        <v/>
      </c>
      <c r="H58" s="220" t="str">
        <f t="shared" si="11"/>
        <v/>
      </c>
      <c r="I58" s="165" t="str">
        <f t="shared" si="12"/>
        <v/>
      </c>
      <c r="J58" s="165">
        <f t="shared" si="13"/>
        <v>1</v>
      </c>
      <c r="K58" s="165">
        <f t="shared" si="14"/>
        <v>1</v>
      </c>
      <c r="L58" s="165">
        <f t="shared" si="15"/>
        <v>2</v>
      </c>
      <c r="M58" s="133" t="str">
        <f t="shared" si="16"/>
        <v/>
      </c>
      <c r="N58" s="166">
        <f t="shared" si="18"/>
        <v>4</v>
      </c>
      <c r="P58" s="69">
        <f>COUNTIF(Assessment!$O183:$O186,tech!$B$9)</f>
        <v>0</v>
      </c>
      <c r="Q58" s="69">
        <f>COUNTIF(Assessment!$O183:$O186,tech!$B$21)</f>
        <v>0</v>
      </c>
      <c r="R58" s="69">
        <f>COUNTIF(Assessment!$O183:$O186,tech!$A$13)</f>
        <v>0</v>
      </c>
      <c r="S58" s="69">
        <f>COUNTIF(Assessment!$O183:$O186,tech!$A$14)</f>
        <v>1</v>
      </c>
      <c r="T58" s="69">
        <f>COUNTIF(Assessment!$O183:$O186,tech!$A$15)</f>
        <v>1</v>
      </c>
      <c r="U58" s="69">
        <f>COUNTIF(Assessment!$O183:$O186,tech!$A$16)</f>
        <v>2</v>
      </c>
      <c r="V58" s="69">
        <f>COUNTIF(Assessment!$O183:$O186,tech!$A$17)</f>
        <v>0</v>
      </c>
      <c r="W58" s="69"/>
    </row>
    <row r="59" spans="2:23" ht="6.75" customHeight="1" thickBot="1" x14ac:dyDescent="0.3">
      <c r="C59" s="919"/>
      <c r="D59" s="167"/>
      <c r="E59" s="89"/>
      <c r="F59" s="168">
        <f>E58</f>
        <v>3</v>
      </c>
      <c r="G59" s="171"/>
      <c r="H59" s="221"/>
      <c r="I59" s="169"/>
      <c r="J59" s="169"/>
      <c r="K59" s="169"/>
      <c r="L59" s="169"/>
      <c r="M59" s="170"/>
      <c r="N59" s="171"/>
    </row>
    <row r="61" spans="2:23" ht="15.75" thickBot="1" x14ac:dyDescent="0.3"/>
    <row r="62" spans="2:23" ht="24.75" thickTop="1" thickBot="1" x14ac:dyDescent="0.4">
      <c r="G62" s="447" t="s">
        <v>346</v>
      </c>
      <c r="H62" s="248"/>
      <c r="I62" s="248"/>
      <c r="J62" s="248"/>
      <c r="K62" s="871" t="s">
        <v>49</v>
      </c>
      <c r="L62" s="871"/>
      <c r="M62" s="248"/>
      <c r="N62" s="449"/>
    </row>
    <row r="63" spans="2:23" ht="7.5" customHeight="1" thickTop="1" x14ac:dyDescent="0.25">
      <c r="G63" s="448"/>
      <c r="N63" s="450"/>
    </row>
    <row r="64" spans="2:23" x14ac:dyDescent="0.25">
      <c r="F64" s="247" t="str" cm="1">
        <f t="array" ref="F64:H82">_xlfn._xlws.FILTER(tech!A140:C225,tech!A140:A225=K62,"No requirement found")</f>
        <v>Advanced</v>
      </c>
      <c r="G64" s="3" t="str">
        <v>1.4.1.</v>
      </c>
      <c r="H64" t="str">
        <v>Scope of processes and procedure is aligned with policies</v>
      </c>
    </row>
    <row r="65" spans="6:8" x14ac:dyDescent="0.25">
      <c r="F65" s="247" t="str">
        <v>Advanced</v>
      </c>
      <c r="G65" s="3" t="str">
        <v>1.4.2.</v>
      </c>
      <c r="H65" t="str">
        <v>Processes and procedures are formally documented and followed</v>
      </c>
    </row>
    <row r="66" spans="6:8" x14ac:dyDescent="0.25">
      <c r="F66" s="247" t="str">
        <v>Advanced</v>
      </c>
      <c r="G66" s="3" t="str">
        <v>1.4.4.</v>
      </c>
      <c r="H66" t="str">
        <v>Evidence from procedures is collected and maintained</v>
      </c>
    </row>
    <row r="67" spans="6:8" x14ac:dyDescent="0.25">
      <c r="F67" s="247" t="str">
        <v>Advanced</v>
      </c>
      <c r="G67" s="3" t="str">
        <v>2.1.1.</v>
      </c>
      <c r="H67" t="str">
        <v>Key management roles and responsibilities are documented and formally assigned</v>
      </c>
    </row>
    <row r="68" spans="6:8" x14ac:dyDescent="0.25">
      <c r="F68" s="247" t="str">
        <v>Advanced</v>
      </c>
      <c r="G68" s="3" t="str">
        <v>2.2.6.</v>
      </c>
      <c r="H68" t="str">
        <v>Certificate management is periodically reviewed and updated</v>
      </c>
    </row>
    <row r="69" spans="6:8" x14ac:dyDescent="0.25">
      <c r="F69" s="247" t="str">
        <v>Advanced</v>
      </c>
      <c r="G69" s="3" t="str">
        <v>2.3.3.</v>
      </c>
      <c r="H69" t="str">
        <v>Network vulnerability management is implemented and maintained</v>
      </c>
    </row>
    <row r="70" spans="6:8" x14ac:dyDescent="0.25">
      <c r="F70" s="247" t="str">
        <v>Advanced</v>
      </c>
      <c r="G70" s="3" t="str">
        <v>2.4.4.</v>
      </c>
      <c r="H70" t="str">
        <v>Requirements for agility are identified</v>
      </c>
    </row>
    <row r="71" spans="6:8" x14ac:dyDescent="0.25">
      <c r="F71" s="247" t="str">
        <v>Advanced</v>
      </c>
      <c r="G71" s="3" t="str">
        <v>2.4.5.</v>
      </c>
      <c r="H71" t="str">
        <v>Change management and agility is periodically reviewed</v>
      </c>
    </row>
    <row r="72" spans="6:8" x14ac:dyDescent="0.25">
      <c r="F72" s="247" t="str">
        <v>Advanced</v>
      </c>
      <c r="G72" s="3" t="str">
        <v>3.1.2.</v>
      </c>
      <c r="H72" t="str">
        <v>Cyber-security management and incident planning</v>
      </c>
    </row>
    <row r="73" spans="6:8" x14ac:dyDescent="0.25">
      <c r="F73" s="247" t="str">
        <v>Advanced</v>
      </c>
      <c r="G73" s="3" t="str">
        <v>3.1.6.</v>
      </c>
      <c r="H73" t="str">
        <v>Continual review and improvement</v>
      </c>
    </row>
    <row r="74" spans="6:8" x14ac:dyDescent="0.25">
      <c r="F74" s="247" t="str">
        <v>Advanced</v>
      </c>
      <c r="G74" s="3" t="str">
        <v>3.2.1.</v>
      </c>
      <c r="H74" t="str">
        <v>Maintain PKI interoperability strategy</v>
      </c>
    </row>
    <row r="75" spans="6:8" x14ac:dyDescent="0.25">
      <c r="F75" s="247" t="str">
        <v>Advanced</v>
      </c>
      <c r="G75" s="3" t="str">
        <v>3.2.2.</v>
      </c>
      <c r="H75" t="str">
        <v>Documented integration guidance</v>
      </c>
    </row>
    <row r="76" spans="6:8" x14ac:dyDescent="0.25">
      <c r="F76" s="247" t="str">
        <v>Advanced</v>
      </c>
      <c r="G76" s="3" t="str">
        <v>3.3.1.</v>
      </c>
      <c r="H76" t="str">
        <v>Monitoring events and logging requirements are defined and documented</v>
      </c>
    </row>
    <row r="77" spans="6:8" x14ac:dyDescent="0.25">
      <c r="F77" s="247" t="str">
        <v>Advanced</v>
      </c>
      <c r="G77" s="3" t="str">
        <v>3.3.2.</v>
      </c>
      <c r="H77" t="str">
        <v>Event logs from systems are collected</v>
      </c>
    </row>
    <row r="78" spans="6:8" x14ac:dyDescent="0.25">
      <c r="F78" s="247" t="str">
        <v>Advanced</v>
      </c>
      <c r="G78" s="3" t="str">
        <v>3.3.3.</v>
      </c>
      <c r="H78" t="str">
        <v>Audit trail can be reconstructed from audit logs</v>
      </c>
    </row>
    <row r="79" spans="6:8" x14ac:dyDescent="0.25">
      <c r="F79" s="247" t="str">
        <v>Advanced</v>
      </c>
      <c r="G79" s="3" t="str">
        <v>3.3.4.</v>
      </c>
      <c r="H79" t="str">
        <v>Monitoring of operational and security events is implemented</v>
      </c>
    </row>
    <row r="80" spans="6:8" x14ac:dyDescent="0.25">
      <c r="F80" s="247" t="str">
        <v>Advanced</v>
      </c>
      <c r="G80" s="3" t="str">
        <v>3.3.5.</v>
      </c>
      <c r="H80" t="str">
        <v>Critical events are immediately alerted and resolved according to incident response plans</v>
      </c>
    </row>
    <row r="81" spans="6:8" x14ac:dyDescent="0.25">
      <c r="F81" s="247" t="str">
        <v>Advanced</v>
      </c>
      <c r="G81" s="3" t="str">
        <v>3.3.6.</v>
      </c>
      <c r="H81" t="str">
        <v>Review of events and logs is periodically performed</v>
      </c>
    </row>
    <row r="82" spans="6:8" x14ac:dyDescent="0.25">
      <c r="F82" s="247" t="str">
        <v>Advanced</v>
      </c>
      <c r="G82" s="3" t="str">
        <v>4.3.4.</v>
      </c>
      <c r="H82" t="str">
        <v>Timely communication of important information</v>
      </c>
    </row>
    <row r="83" spans="6:8" x14ac:dyDescent="0.25">
      <c r="F83" s="247"/>
      <c r="G83" s="3"/>
    </row>
    <row r="84" spans="6:8" x14ac:dyDescent="0.25">
      <c r="F84" s="247"/>
      <c r="G84" s="3"/>
    </row>
    <row r="85" spans="6:8" x14ac:dyDescent="0.25">
      <c r="F85" s="247"/>
      <c r="G85" s="3"/>
    </row>
    <row r="86" spans="6:8" x14ac:dyDescent="0.25">
      <c r="F86" s="247"/>
      <c r="G86" s="3"/>
    </row>
    <row r="87" spans="6:8" x14ac:dyDescent="0.25">
      <c r="F87" s="247"/>
      <c r="G87" s="3"/>
    </row>
    <row r="88" spans="6:8" x14ac:dyDescent="0.25">
      <c r="F88" s="247"/>
      <c r="G88" s="3"/>
    </row>
    <row r="89" spans="6:8" x14ac:dyDescent="0.25">
      <c r="F89" s="247"/>
      <c r="G89" s="3"/>
    </row>
    <row r="90" spans="6:8" x14ac:dyDescent="0.25">
      <c r="F90" s="247"/>
      <c r="G90" s="3"/>
    </row>
    <row r="91" spans="6:8" x14ac:dyDescent="0.25">
      <c r="F91" s="247"/>
      <c r="G91" s="3"/>
    </row>
    <row r="92" spans="6:8" x14ac:dyDescent="0.25">
      <c r="F92" s="247"/>
      <c r="G92" s="3"/>
    </row>
    <row r="93" spans="6:8" x14ac:dyDescent="0.25">
      <c r="F93" s="247"/>
      <c r="G93" s="3"/>
    </row>
    <row r="94" spans="6:8" x14ac:dyDescent="0.25">
      <c r="F94" s="247"/>
      <c r="G94" s="3"/>
    </row>
    <row r="95" spans="6:8" x14ac:dyDescent="0.25">
      <c r="F95" s="247"/>
      <c r="G95" s="3"/>
    </row>
    <row r="96" spans="6:8" x14ac:dyDescent="0.25">
      <c r="F96" s="247"/>
      <c r="G96" s="3"/>
    </row>
    <row r="97" spans="6:7" x14ac:dyDescent="0.25">
      <c r="F97" s="247"/>
      <c r="G97" s="3"/>
    </row>
    <row r="98" spans="6:7" x14ac:dyDescent="0.25">
      <c r="F98" s="247"/>
      <c r="G98" s="3"/>
    </row>
    <row r="99" spans="6:7" x14ac:dyDescent="0.25">
      <c r="F99" s="247"/>
      <c r="G99" s="3"/>
    </row>
    <row r="100" spans="6:7" x14ac:dyDescent="0.25">
      <c r="F100" s="247"/>
      <c r="G100" s="3"/>
    </row>
    <row r="101" spans="6:7" x14ac:dyDescent="0.25">
      <c r="F101" s="247"/>
      <c r="G101" s="3"/>
    </row>
    <row r="102" spans="6:7" x14ac:dyDescent="0.25">
      <c r="F102" s="247"/>
      <c r="G102" s="3"/>
    </row>
    <row r="103" spans="6:7" x14ac:dyDescent="0.25">
      <c r="F103" s="247"/>
      <c r="G103" s="3"/>
    </row>
    <row r="104" spans="6:7" x14ac:dyDescent="0.25">
      <c r="F104" s="247"/>
      <c r="G104" s="3"/>
    </row>
    <row r="105" spans="6:7" x14ac:dyDescent="0.25">
      <c r="F105" s="247"/>
      <c r="G105" s="3"/>
    </row>
    <row r="106" spans="6:7" x14ac:dyDescent="0.25">
      <c r="F106" s="247"/>
      <c r="G106" s="3"/>
    </row>
    <row r="107" spans="6:7" x14ac:dyDescent="0.25">
      <c r="F107" s="247"/>
      <c r="G107" s="3"/>
    </row>
    <row r="108" spans="6:7" x14ac:dyDescent="0.25">
      <c r="F108" s="247"/>
      <c r="G108" s="3"/>
    </row>
    <row r="109" spans="6:7" x14ac:dyDescent="0.25">
      <c r="F109" s="247"/>
      <c r="G109" s="3"/>
    </row>
    <row r="110" spans="6:7" x14ac:dyDescent="0.25">
      <c r="F110" s="247"/>
      <c r="G110" s="3"/>
    </row>
    <row r="111" spans="6:7" x14ac:dyDescent="0.25">
      <c r="F111" s="247"/>
      <c r="G111" s="3"/>
    </row>
    <row r="112" spans="6:7" x14ac:dyDescent="0.25">
      <c r="F112" s="247"/>
      <c r="G112" s="3"/>
    </row>
    <row r="113" spans="6:7" x14ac:dyDescent="0.25">
      <c r="F113" s="247"/>
      <c r="G113" s="3"/>
    </row>
    <row r="114" spans="6:7" x14ac:dyDescent="0.25">
      <c r="F114" s="247"/>
      <c r="G114" s="3"/>
    </row>
    <row r="115" spans="6:7" x14ac:dyDescent="0.25">
      <c r="F115" s="247"/>
      <c r="G115" s="3"/>
    </row>
    <row r="116" spans="6:7" x14ac:dyDescent="0.25">
      <c r="G116" s="3"/>
    </row>
    <row r="117" spans="6:7" x14ac:dyDescent="0.25">
      <c r="G117" s="3"/>
    </row>
    <row r="118" spans="6:7" x14ac:dyDescent="0.25">
      <c r="G118" s="3"/>
    </row>
    <row r="119" spans="6:7" x14ac:dyDescent="0.25">
      <c r="G119" s="3"/>
    </row>
    <row r="120" spans="6:7" x14ac:dyDescent="0.25">
      <c r="G120" s="3"/>
    </row>
    <row r="121" spans="6:7" x14ac:dyDescent="0.25">
      <c r="G121" s="3"/>
    </row>
    <row r="122" spans="6:7" x14ac:dyDescent="0.25">
      <c r="G122" s="3"/>
    </row>
    <row r="123" spans="6:7" x14ac:dyDescent="0.25">
      <c r="G123" s="3"/>
    </row>
    <row r="124" spans="6:7" x14ac:dyDescent="0.25">
      <c r="G124" s="3"/>
    </row>
    <row r="125" spans="6:7" x14ac:dyDescent="0.25">
      <c r="G125" s="3"/>
    </row>
    <row r="126" spans="6:7" x14ac:dyDescent="0.25">
      <c r="G126" s="3"/>
    </row>
    <row r="127" spans="6:7" x14ac:dyDescent="0.25">
      <c r="G127" s="3"/>
    </row>
    <row r="128" spans="6:7" x14ac:dyDescent="0.25">
      <c r="G128" s="3"/>
    </row>
    <row r="129" spans="7:7" x14ac:dyDescent="0.25">
      <c r="G129" s="3"/>
    </row>
    <row r="130" spans="7:7" x14ac:dyDescent="0.25">
      <c r="G130" s="3"/>
    </row>
    <row r="131" spans="7:7" x14ac:dyDescent="0.25">
      <c r="G131" s="3"/>
    </row>
    <row r="132" spans="7:7" x14ac:dyDescent="0.25">
      <c r="G132" s="3"/>
    </row>
    <row r="133" spans="7:7" x14ac:dyDescent="0.25">
      <c r="G133" s="3"/>
    </row>
    <row r="134" spans="7:7" x14ac:dyDescent="0.25">
      <c r="G134" s="3"/>
    </row>
    <row r="135" spans="7:7" x14ac:dyDescent="0.25">
      <c r="G135" s="3"/>
    </row>
    <row r="136" spans="7:7" x14ac:dyDescent="0.25">
      <c r="G136" s="3"/>
    </row>
    <row r="137" spans="7:7" x14ac:dyDescent="0.25">
      <c r="G137" s="3"/>
    </row>
    <row r="138" spans="7:7" x14ac:dyDescent="0.25">
      <c r="G138" s="3"/>
    </row>
    <row r="139" spans="7:7" x14ac:dyDescent="0.25">
      <c r="G139" s="3"/>
    </row>
    <row r="140" spans="7:7" x14ac:dyDescent="0.25">
      <c r="G140" s="3"/>
    </row>
    <row r="141" spans="7:7" x14ac:dyDescent="0.25">
      <c r="G141" s="3"/>
    </row>
    <row r="142" spans="7:7" x14ac:dyDescent="0.25">
      <c r="G142" s="3"/>
    </row>
    <row r="143" spans="7:7" x14ac:dyDescent="0.25">
      <c r="G143" s="3"/>
    </row>
    <row r="144" spans="7:7" x14ac:dyDescent="0.25">
      <c r="G144" s="3"/>
    </row>
    <row r="145" spans="7:7" x14ac:dyDescent="0.25">
      <c r="G145" s="3"/>
    </row>
  </sheetData>
  <sheetProtection sheet="1" objects="1" scenarios="1"/>
  <protectedRanges>
    <protectedRange sqref="K62:L62" name="Selector"/>
  </protectedRanges>
  <mergeCells count="187">
    <mergeCell ref="L54:L55"/>
    <mergeCell ref="K19:K20"/>
    <mergeCell ref="J19:J20"/>
    <mergeCell ref="I19:I20"/>
    <mergeCell ref="H19:H20"/>
    <mergeCell ref="G19:G20"/>
    <mergeCell ref="I10:I11"/>
    <mergeCell ref="H10:H11"/>
    <mergeCell ref="G10:G11"/>
    <mergeCell ref="F12:N12"/>
    <mergeCell ref="D18:F18"/>
    <mergeCell ref="M54:M55"/>
    <mergeCell ref="N54:N55"/>
    <mergeCell ref="G54:G55"/>
    <mergeCell ref="H54:H55"/>
    <mergeCell ref="I54:I55"/>
    <mergeCell ref="J54:J55"/>
    <mergeCell ref="K54:K55"/>
    <mergeCell ref="L50:L51"/>
    <mergeCell ref="M50:M51"/>
    <mergeCell ref="N50:N51"/>
    <mergeCell ref="G52:G53"/>
    <mergeCell ref="H52:H53"/>
    <mergeCell ref="I52:I53"/>
    <mergeCell ref="K3:N3"/>
    <mergeCell ref="N10:N11"/>
    <mergeCell ref="M10:M11"/>
    <mergeCell ref="L10:L11"/>
    <mergeCell ref="K10:K11"/>
    <mergeCell ref="J10:J11"/>
    <mergeCell ref="C2:D5"/>
    <mergeCell ref="F2:I4"/>
    <mergeCell ref="F5:I5"/>
    <mergeCell ref="K4:N4"/>
    <mergeCell ref="K5:N5"/>
    <mergeCell ref="C10:C12"/>
    <mergeCell ref="C25:C26"/>
    <mergeCell ref="C23:C24"/>
    <mergeCell ref="N23:N24"/>
    <mergeCell ref="M23:M24"/>
    <mergeCell ref="L23:L24"/>
    <mergeCell ref="K23:K24"/>
    <mergeCell ref="J23:J24"/>
    <mergeCell ref="I23:I24"/>
    <mergeCell ref="H23:H24"/>
    <mergeCell ref="G23:G24"/>
    <mergeCell ref="N25:N26"/>
    <mergeCell ref="M25:M26"/>
    <mergeCell ref="L25:L26"/>
    <mergeCell ref="J52:J53"/>
    <mergeCell ref="K52:K53"/>
    <mergeCell ref="L52:L53"/>
    <mergeCell ref="M52:M53"/>
    <mergeCell ref="N52:N53"/>
    <mergeCell ref="G50:G51"/>
    <mergeCell ref="H50:H51"/>
    <mergeCell ref="I50:I51"/>
    <mergeCell ref="J50:J51"/>
    <mergeCell ref="K50:K51"/>
    <mergeCell ref="L46:L47"/>
    <mergeCell ref="M46:M47"/>
    <mergeCell ref="N46:N47"/>
    <mergeCell ref="G48:G49"/>
    <mergeCell ref="H48:H49"/>
    <mergeCell ref="I48:I49"/>
    <mergeCell ref="J48:J49"/>
    <mergeCell ref="K48:K49"/>
    <mergeCell ref="L48:L49"/>
    <mergeCell ref="M48:M49"/>
    <mergeCell ref="N48:N49"/>
    <mergeCell ref="G46:G47"/>
    <mergeCell ref="H46:H47"/>
    <mergeCell ref="I46:I47"/>
    <mergeCell ref="J46:J47"/>
    <mergeCell ref="K46:K47"/>
    <mergeCell ref="L42:L43"/>
    <mergeCell ref="M42:M43"/>
    <mergeCell ref="N42:N43"/>
    <mergeCell ref="G44:G45"/>
    <mergeCell ref="H44:H45"/>
    <mergeCell ref="I44:I45"/>
    <mergeCell ref="J44:J45"/>
    <mergeCell ref="K44:K45"/>
    <mergeCell ref="L44:L45"/>
    <mergeCell ref="M44:M45"/>
    <mergeCell ref="N44:N45"/>
    <mergeCell ref="G42:G43"/>
    <mergeCell ref="H42:H43"/>
    <mergeCell ref="I42:I43"/>
    <mergeCell ref="J42:J43"/>
    <mergeCell ref="K42:K43"/>
    <mergeCell ref="G36:G37"/>
    <mergeCell ref="G40:G41"/>
    <mergeCell ref="H40:H41"/>
    <mergeCell ref="I40:I41"/>
    <mergeCell ref="J40:J41"/>
    <mergeCell ref="K40:K41"/>
    <mergeCell ref="L40:L41"/>
    <mergeCell ref="M40:M41"/>
    <mergeCell ref="N40:N41"/>
    <mergeCell ref="G38:G39"/>
    <mergeCell ref="H38:H39"/>
    <mergeCell ref="I38:I39"/>
    <mergeCell ref="J38:J39"/>
    <mergeCell ref="K38:K39"/>
    <mergeCell ref="H36:H37"/>
    <mergeCell ref="I36:I37"/>
    <mergeCell ref="J36:J37"/>
    <mergeCell ref="K36:K37"/>
    <mergeCell ref="L36:L37"/>
    <mergeCell ref="M36:M37"/>
    <mergeCell ref="N36:N37"/>
    <mergeCell ref="L38:L39"/>
    <mergeCell ref="M38:M39"/>
    <mergeCell ref="N38:N39"/>
    <mergeCell ref="C58:C59"/>
    <mergeCell ref="N32:N33"/>
    <mergeCell ref="M32:M33"/>
    <mergeCell ref="L32:L33"/>
    <mergeCell ref="K32:K33"/>
    <mergeCell ref="J32:J33"/>
    <mergeCell ref="I32:I33"/>
    <mergeCell ref="H32:H33"/>
    <mergeCell ref="G32:G33"/>
    <mergeCell ref="C54:C55"/>
    <mergeCell ref="C52:C53"/>
    <mergeCell ref="C50:C51"/>
    <mergeCell ref="C48:C49"/>
    <mergeCell ref="C46:C47"/>
    <mergeCell ref="C56:C57"/>
    <mergeCell ref="N56:N57"/>
    <mergeCell ref="M56:M57"/>
    <mergeCell ref="L56:L57"/>
    <mergeCell ref="K56:K57"/>
    <mergeCell ref="J56:J57"/>
    <mergeCell ref="I56:I57"/>
    <mergeCell ref="H56:H57"/>
    <mergeCell ref="G56:G57"/>
    <mergeCell ref="G34:G35"/>
    <mergeCell ref="L19:L20"/>
    <mergeCell ref="N30:N31"/>
    <mergeCell ref="M30:M31"/>
    <mergeCell ref="L30:L31"/>
    <mergeCell ref="K30:K31"/>
    <mergeCell ref="C44:C45"/>
    <mergeCell ref="C42:C43"/>
    <mergeCell ref="C40:C41"/>
    <mergeCell ref="C38:C39"/>
    <mergeCell ref="C36:C37"/>
    <mergeCell ref="J30:J31"/>
    <mergeCell ref="I30:I31"/>
    <mergeCell ref="H30:H31"/>
    <mergeCell ref="G30:G31"/>
    <mergeCell ref="H34:H35"/>
    <mergeCell ref="I34:I35"/>
    <mergeCell ref="J34:J35"/>
    <mergeCell ref="C34:C35"/>
    <mergeCell ref="C32:C33"/>
    <mergeCell ref="C30:C31"/>
    <mergeCell ref="K34:K35"/>
    <mergeCell ref="L34:L35"/>
    <mergeCell ref="M34:M35"/>
    <mergeCell ref="N34:N35"/>
    <mergeCell ref="K62:L62"/>
    <mergeCell ref="D29:F29"/>
    <mergeCell ref="C8:C9"/>
    <mergeCell ref="D8:F9"/>
    <mergeCell ref="G8:N8"/>
    <mergeCell ref="D15:N15"/>
    <mergeCell ref="D14:N14"/>
    <mergeCell ref="C21:C22"/>
    <mergeCell ref="C19:C20"/>
    <mergeCell ref="N21:N22"/>
    <mergeCell ref="M21:M22"/>
    <mergeCell ref="L21:L22"/>
    <mergeCell ref="K21:K22"/>
    <mergeCell ref="J21:J22"/>
    <mergeCell ref="I21:I22"/>
    <mergeCell ref="H21:H22"/>
    <mergeCell ref="K25:K26"/>
    <mergeCell ref="J25:J26"/>
    <mergeCell ref="I25:I26"/>
    <mergeCell ref="H25:H26"/>
    <mergeCell ref="G25:G26"/>
    <mergeCell ref="G21:G22"/>
    <mergeCell ref="N19:N20"/>
    <mergeCell ref="M19:M20"/>
  </mergeCells>
  <conditionalFormatting sqref="C19">
    <cfRule type="expression" dxfId="53" priority="81">
      <formula>B19=0</formula>
    </cfRule>
  </conditionalFormatting>
  <conditionalFormatting sqref="C21">
    <cfRule type="expression" dxfId="52" priority="86">
      <formula>B21=0</formula>
    </cfRule>
  </conditionalFormatting>
  <conditionalFormatting sqref="C23">
    <cfRule type="expression" dxfId="51" priority="87">
      <formula>B23=0</formula>
    </cfRule>
  </conditionalFormatting>
  <conditionalFormatting sqref="C25">
    <cfRule type="expression" dxfId="50" priority="84">
      <formula>B25=0</formula>
    </cfRule>
  </conditionalFormatting>
  <conditionalFormatting sqref="C30 C32 C34 C36">
    <cfRule type="expression" dxfId="49" priority="80">
      <formula>B30=0</formula>
    </cfRule>
  </conditionalFormatting>
  <conditionalFormatting sqref="C38 C40 C42 C44">
    <cfRule type="expression" dxfId="48" priority="82">
      <formula>B38=0</formula>
    </cfRule>
  </conditionalFormatting>
  <conditionalFormatting sqref="C46 C48 C50 C52">
    <cfRule type="expression" dxfId="47" priority="83">
      <formula>B46=0</formula>
    </cfRule>
  </conditionalFormatting>
  <conditionalFormatting sqref="C54 C56 C58">
    <cfRule type="expression" dxfId="46" priority="85">
      <formula>B54=0</formula>
    </cfRule>
  </conditionalFormatting>
  <conditionalFormatting sqref="F11:F12">
    <cfRule type="dataBar" priority="18">
      <dataBar showValue="0">
        <cfvo type="num" val="0"/>
        <cfvo type="num" val="5"/>
        <color rgb="FF92D050"/>
      </dataBar>
      <extLst>
        <ext xmlns:x14="http://schemas.microsoft.com/office/spreadsheetml/2009/9/main" uri="{B025F937-C7B1-47D3-B67F-A62EFF666E3E}">
          <x14:id>{037A1C0D-E43E-48C7-8B32-5A539CD3A6B8}</x14:id>
        </ext>
      </extLst>
    </cfRule>
  </conditionalFormatting>
  <conditionalFormatting sqref="F20">
    <cfRule type="dataBar" priority="22">
      <dataBar showValue="0">
        <cfvo type="num" val="0"/>
        <cfvo type="num" val="5"/>
        <color rgb="FF92D050"/>
      </dataBar>
      <extLst>
        <ext xmlns:x14="http://schemas.microsoft.com/office/spreadsheetml/2009/9/main" uri="{B025F937-C7B1-47D3-B67F-A62EFF666E3E}">
          <x14:id>{BBE8517C-1874-478F-9FE2-853BBF74EC1D}</x14:id>
        </ext>
      </extLst>
    </cfRule>
  </conditionalFormatting>
  <conditionalFormatting sqref="F22">
    <cfRule type="dataBar" priority="21">
      <dataBar showValue="0">
        <cfvo type="num" val="0"/>
        <cfvo type="num" val="5"/>
        <color rgb="FF92D050"/>
      </dataBar>
      <extLst>
        <ext xmlns:x14="http://schemas.microsoft.com/office/spreadsheetml/2009/9/main" uri="{B025F937-C7B1-47D3-B67F-A62EFF666E3E}">
          <x14:id>{910738DB-15EE-4C5D-802B-E184FA92DB41}</x14:id>
        </ext>
      </extLst>
    </cfRule>
  </conditionalFormatting>
  <conditionalFormatting sqref="F24">
    <cfRule type="dataBar" priority="20">
      <dataBar showValue="0">
        <cfvo type="num" val="0"/>
        <cfvo type="num" val="5"/>
        <color rgb="FF92D050"/>
      </dataBar>
      <extLst>
        <ext xmlns:x14="http://schemas.microsoft.com/office/spreadsheetml/2009/9/main" uri="{B025F937-C7B1-47D3-B67F-A62EFF666E3E}">
          <x14:id>{FE5E3320-F021-4FA4-B11D-90DA704C7511}</x14:id>
        </ext>
      </extLst>
    </cfRule>
  </conditionalFormatting>
  <conditionalFormatting sqref="F26">
    <cfRule type="dataBar" priority="19">
      <dataBar showValue="0">
        <cfvo type="num" val="0"/>
        <cfvo type="num" val="5"/>
        <color rgb="FF92D050"/>
      </dataBar>
      <extLst>
        <ext xmlns:x14="http://schemas.microsoft.com/office/spreadsheetml/2009/9/main" uri="{B025F937-C7B1-47D3-B67F-A62EFF666E3E}">
          <x14:id>{E62B0EA1-F118-4604-A728-A8848D9F8D8C}</x14:id>
        </ext>
      </extLst>
    </cfRule>
  </conditionalFormatting>
  <conditionalFormatting sqref="F35 F37 F39 F41 F43 F45 F47 F49 F51 F53 F55 F31 F33 F57 F59">
    <cfRule type="dataBar" priority="24">
      <dataBar showValue="0">
        <cfvo type="num" val="0"/>
        <cfvo type="num" val="5"/>
        <color rgb="FF92D050"/>
      </dataBar>
      <extLst>
        <ext xmlns:x14="http://schemas.microsoft.com/office/spreadsheetml/2009/9/main" uri="{B025F937-C7B1-47D3-B67F-A62EFF666E3E}">
          <x14:id>{883F661E-20F2-44D2-87C8-1446D7F5B254}</x14:id>
        </ext>
      </extLst>
    </cfRule>
  </conditionalFormatting>
  <conditionalFormatting sqref="F86">
    <cfRule type="expression" dxfId="45" priority="172">
      <formula>LEFT($F86,1)="4"</formula>
    </cfRule>
    <cfRule type="expression" dxfId="44" priority="173">
      <formula>LEFT($F86,1)="3"</formula>
    </cfRule>
    <cfRule type="expression" dxfId="43" priority="174">
      <formula>LEFT($F86,1)="2"</formula>
    </cfRule>
    <cfRule type="expression" dxfId="42" priority="175">
      <formula>LEFT($F86,1)="1"</formula>
    </cfRule>
  </conditionalFormatting>
  <conditionalFormatting sqref="G64:G115">
    <cfRule type="cellIs" dxfId="41" priority="10" operator="notEqual">
      <formula>""</formula>
    </cfRule>
  </conditionalFormatting>
  <conditionalFormatting sqref="G64:L115 N64:N115">
    <cfRule type="expression" dxfId="40" priority="11">
      <formula>LEFT($G64,1)="4"</formula>
    </cfRule>
    <cfRule type="expression" dxfId="39" priority="12">
      <formula>LEFT($G64,1)="3"</formula>
    </cfRule>
    <cfRule type="expression" dxfId="38" priority="13">
      <formula>LEFT($G64,1)="2"</formula>
    </cfRule>
    <cfRule type="expression" dxfId="37" priority="14">
      <formula>LEFT($G64,1)="1"</formula>
    </cfRule>
  </conditionalFormatting>
  <conditionalFormatting sqref="M64:M115">
    <cfRule type="expression" dxfId="33" priority="1">
      <formula>LEFT($G64,1)="4"</formula>
    </cfRule>
    <cfRule type="expression" dxfId="32" priority="2">
      <formula>LEFT($G64,1)="3"</formula>
    </cfRule>
    <cfRule type="expression" dxfId="31" priority="3">
      <formula>LEFT($G64,1)="2"</formula>
    </cfRule>
    <cfRule type="expression" dxfId="30" priority="4">
      <formula>LEFT($G64,1)="1"</formula>
    </cfRule>
  </conditionalFormatting>
  <conditionalFormatting sqref="N64:N115">
    <cfRule type="expression" dxfId="29" priority="9">
      <formula>$G64&lt;&gt;""</formula>
    </cfRule>
  </conditionalFormatting>
  <pageMargins left="0.7" right="0.7" top="0.78740157499999996" bottom="0.78740157499999996" header="0.3" footer="0.3"/>
  <pageSetup paperSize="9" orientation="portrait" r:id="rId1"/>
  <ignoredErrors>
    <ignoredError sqref="F31:F58 F20:F25" formula="1"/>
  </ignoredErrors>
  <extLst>
    <ext xmlns:x14="http://schemas.microsoft.com/office/spreadsheetml/2009/9/main" uri="{78C0D931-6437-407d-A8EE-F0AAD7539E65}">
      <x14:conditionalFormattings>
        <x14:conditionalFormatting xmlns:xm="http://schemas.microsoft.com/office/excel/2006/main">
          <x14:cfRule type="iconSet" priority="33" id="{00000000-000E-0000-0300-000001000000}">
            <x14:iconSet iconSet="5Boxes" showValue="0">
              <x14:cfvo type="percent">
                <xm:f>0</xm:f>
              </x14:cfvo>
              <x14:cfvo type="num" gte="0">
                <xm:f>1</xm:f>
              </x14:cfvo>
              <x14:cfvo type="num" gte="0">
                <xm:f>2</xm:f>
              </x14:cfvo>
              <x14:cfvo type="num" gte="0">
                <xm:f>3</xm:f>
              </x14:cfvo>
              <x14:cfvo type="num" gte="0">
                <xm:f>4</xm:f>
              </x14:cfvo>
            </x14:iconSet>
          </x14:cfRule>
          <xm:sqref>D19:D26 D10:D12 D30:D59</xm:sqref>
        </x14:conditionalFormatting>
        <x14:conditionalFormatting xmlns:xm="http://schemas.microsoft.com/office/excel/2006/main">
          <x14:cfRule type="dataBar" id="{037A1C0D-E43E-48C7-8B32-5A539CD3A6B8}">
            <x14:dataBar minLength="0" maxLength="100" gradient="0">
              <x14:cfvo type="num">
                <xm:f>0</xm:f>
              </x14:cfvo>
              <x14:cfvo type="num">
                <xm:f>5</xm:f>
              </x14:cfvo>
              <x14:negativeFillColor rgb="FFFF0000"/>
              <x14:axisColor rgb="FF000000"/>
            </x14:dataBar>
          </x14:cfRule>
          <xm:sqref>F11:F12</xm:sqref>
        </x14:conditionalFormatting>
        <x14:conditionalFormatting xmlns:xm="http://schemas.microsoft.com/office/excel/2006/main">
          <x14:cfRule type="dataBar" id="{BBE8517C-1874-478F-9FE2-853BBF74EC1D}">
            <x14:dataBar minLength="0" maxLength="100" gradient="0">
              <x14:cfvo type="num">
                <xm:f>0</xm:f>
              </x14:cfvo>
              <x14:cfvo type="num">
                <xm:f>5</xm:f>
              </x14:cfvo>
              <x14:negativeFillColor rgb="FFFF0000"/>
              <x14:axisColor rgb="FF000000"/>
            </x14:dataBar>
          </x14:cfRule>
          <xm:sqref>F20</xm:sqref>
        </x14:conditionalFormatting>
        <x14:conditionalFormatting xmlns:xm="http://schemas.microsoft.com/office/excel/2006/main">
          <x14:cfRule type="dataBar" id="{910738DB-15EE-4C5D-802B-E184FA92DB41}">
            <x14:dataBar minLength="0" maxLength="100" gradient="0">
              <x14:cfvo type="num">
                <xm:f>0</xm:f>
              </x14:cfvo>
              <x14:cfvo type="num">
                <xm:f>5</xm:f>
              </x14:cfvo>
              <x14:negativeFillColor rgb="FFFF0000"/>
              <x14:axisColor rgb="FF000000"/>
            </x14:dataBar>
          </x14:cfRule>
          <xm:sqref>F22</xm:sqref>
        </x14:conditionalFormatting>
        <x14:conditionalFormatting xmlns:xm="http://schemas.microsoft.com/office/excel/2006/main">
          <x14:cfRule type="dataBar" id="{FE5E3320-F021-4FA4-B11D-90DA704C7511}">
            <x14:dataBar minLength="0" maxLength="100" gradient="0">
              <x14:cfvo type="num">
                <xm:f>0</xm:f>
              </x14:cfvo>
              <x14:cfvo type="num">
                <xm:f>5</xm:f>
              </x14:cfvo>
              <x14:negativeFillColor rgb="FFFF0000"/>
              <x14:axisColor rgb="FF000000"/>
            </x14:dataBar>
          </x14:cfRule>
          <xm:sqref>F24</xm:sqref>
        </x14:conditionalFormatting>
        <x14:conditionalFormatting xmlns:xm="http://schemas.microsoft.com/office/excel/2006/main">
          <x14:cfRule type="dataBar" id="{E62B0EA1-F118-4604-A728-A8848D9F8D8C}">
            <x14:dataBar minLength="0" maxLength="100" gradient="0">
              <x14:cfvo type="num">
                <xm:f>0</xm:f>
              </x14:cfvo>
              <x14:cfvo type="num">
                <xm:f>5</xm:f>
              </x14:cfvo>
              <x14:negativeFillColor rgb="FFFF0000"/>
              <x14:axisColor rgb="FF000000"/>
            </x14:dataBar>
          </x14:cfRule>
          <xm:sqref>F26</xm:sqref>
        </x14:conditionalFormatting>
        <x14:conditionalFormatting xmlns:xm="http://schemas.microsoft.com/office/excel/2006/main">
          <x14:cfRule type="dataBar" id="{883F661E-20F2-44D2-87C8-1446D7F5B254}">
            <x14:dataBar minLength="0" maxLength="100" gradient="0">
              <x14:cfvo type="num">
                <xm:f>0</xm:f>
              </x14:cfvo>
              <x14:cfvo type="num">
                <xm:f>5</xm:f>
              </x14:cfvo>
              <x14:negativeFillColor rgb="FFFF0000"/>
              <x14:axisColor rgb="FF000000"/>
            </x14:dataBar>
          </x14:cfRule>
          <xm:sqref>F35 F37 F39 F41 F43 F45 F47 F49 F51 F53 F55 F31 F33 F57 F59</xm:sqref>
        </x14:conditionalFormatting>
        <x14:conditionalFormatting xmlns:xm="http://schemas.microsoft.com/office/excel/2006/main">
          <x14:cfRule type="expression" priority="15" stopIfTrue="1" id="{CC5B7208-FDCC-4502-96E5-5929CC7A6C01}">
            <xm:f>Overview!$D$9:$E$9&lt;&gt;""</xm:f>
            <x14:dxf>
              <font>
                <b val="0"/>
                <i val="0"/>
                <color auto="1"/>
              </font>
              <fill>
                <patternFill>
                  <bgColor theme="0" tint="-4.9989318521683403E-2"/>
                </patternFill>
              </fill>
            </x14:dxf>
          </x14:cfRule>
          <x14:cfRule type="expression" priority="125" id="{1897AFC5-9E26-412B-BC4A-F4C1482B96CA}">
            <xm:f>TODAY()&gt;Overview!D8</xm:f>
            <x14:dxf>
              <font>
                <b/>
                <i val="0"/>
                <color theme="0"/>
              </font>
              <fill>
                <patternFill>
                  <bgColor rgb="FFC00000"/>
                </patternFill>
              </fill>
            </x14:dxf>
          </x14:cfRule>
          <x14:cfRule type="expression" priority="126" id="{D5D75333-6560-489D-AFED-D5112E59337F}">
            <xm:f>AND(TODAY()&lt;Overview!D8,(Overview!D8-TODAY())&lt;tech!$H$10)</xm:f>
            <x14:dxf>
              <font>
                <b/>
                <i val="0"/>
                <color rgb="FFC00000"/>
              </font>
            </x14:dxf>
          </x14:cfRule>
          <xm:sqref>K4:N4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804C02-1F08-4D8C-8F9A-7363A29B4EE7}">
          <x14:formula1>
            <xm:f>tech!$A$13:$A$18</xm:f>
          </x14:formula1>
          <xm:sqref>K62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EAC25-32A0-4B39-977E-C7A7930604F5}">
  <dimension ref="B1:J34"/>
  <sheetViews>
    <sheetView showGridLines="0" view="pageLayout" zoomScale="90" zoomScaleNormal="100" zoomScalePageLayoutView="90" workbookViewId="0">
      <selection activeCell="B1" sqref="B1:J4"/>
    </sheetView>
  </sheetViews>
  <sheetFormatPr defaultColWidth="8.85546875" defaultRowHeight="15" x14ac:dyDescent="0.25"/>
  <cols>
    <col min="1" max="1" width="0.28515625" customWidth="1"/>
    <col min="2" max="3" width="7.42578125" customWidth="1"/>
    <col min="4" max="4" width="14.140625" customWidth="1"/>
    <col min="6" max="6" width="11.85546875" bestFit="1" customWidth="1"/>
    <col min="8" max="8" width="11.85546875" customWidth="1"/>
    <col min="10" max="10" width="9.28515625" customWidth="1"/>
  </cols>
  <sheetData>
    <row r="1" spans="2:10" x14ac:dyDescent="0.25">
      <c r="B1" s="973" t="s">
        <v>297</v>
      </c>
      <c r="C1" s="973"/>
      <c r="D1" s="973"/>
      <c r="E1" s="973"/>
      <c r="F1" s="973"/>
      <c r="G1" s="973"/>
      <c r="H1" s="973"/>
      <c r="I1" s="973"/>
      <c r="J1" s="973"/>
    </row>
    <row r="2" spans="2:10" x14ac:dyDescent="0.25">
      <c r="B2" s="973"/>
      <c r="C2" s="973"/>
      <c r="D2" s="973"/>
      <c r="E2" s="973"/>
      <c r="F2" s="973"/>
      <c r="G2" s="973"/>
      <c r="H2" s="973"/>
      <c r="I2" s="973"/>
      <c r="J2" s="973"/>
    </row>
    <row r="3" spans="2:10" x14ac:dyDescent="0.25">
      <c r="B3" s="973"/>
      <c r="C3" s="973"/>
      <c r="D3" s="973"/>
      <c r="E3" s="973"/>
      <c r="F3" s="973"/>
      <c r="G3" s="973"/>
      <c r="H3" s="973"/>
      <c r="I3" s="973"/>
      <c r="J3" s="973"/>
    </row>
    <row r="4" spans="2:10" x14ac:dyDescent="0.25">
      <c r="B4" s="973"/>
      <c r="C4" s="973"/>
      <c r="D4" s="973"/>
      <c r="E4" s="973"/>
      <c r="F4" s="973"/>
      <c r="G4" s="973"/>
      <c r="H4" s="973"/>
      <c r="I4" s="973"/>
      <c r="J4" s="973"/>
    </row>
    <row r="5" spans="2:10" x14ac:dyDescent="0.25">
      <c r="B5" s="974" t="s">
        <v>409</v>
      </c>
      <c r="C5" s="974"/>
      <c r="D5" s="974"/>
      <c r="E5" s="974"/>
      <c r="F5" s="974"/>
      <c r="G5" s="974"/>
      <c r="H5" s="974"/>
      <c r="I5" s="974"/>
      <c r="J5" s="974"/>
    </row>
    <row r="6" spans="2:10" x14ac:dyDescent="0.25">
      <c r="B6" s="974"/>
      <c r="C6" s="974"/>
      <c r="D6" s="974"/>
      <c r="E6" s="974"/>
      <c r="F6" s="974"/>
      <c r="G6" s="974"/>
      <c r="H6" s="974"/>
      <c r="I6" s="974"/>
      <c r="J6" s="974"/>
    </row>
    <row r="7" spans="2:10" x14ac:dyDescent="0.25">
      <c r="B7" s="974"/>
      <c r="C7" s="974"/>
      <c r="D7" s="974"/>
      <c r="E7" s="974"/>
      <c r="F7" s="974"/>
      <c r="G7" s="974"/>
      <c r="H7" s="974"/>
      <c r="I7" s="974"/>
      <c r="J7" s="974"/>
    </row>
    <row r="8" spans="2:10" ht="15.75" thickBot="1" x14ac:dyDescent="0.3">
      <c r="B8" s="2"/>
      <c r="C8" s="2"/>
      <c r="D8" s="2"/>
      <c r="E8" s="2"/>
      <c r="F8" s="2"/>
      <c r="G8" s="2"/>
      <c r="H8" s="2"/>
      <c r="I8" s="2"/>
      <c r="J8" s="2"/>
    </row>
    <row r="9" spans="2:10" ht="27" thickBot="1" x14ac:dyDescent="0.3">
      <c r="B9" s="975" t="s">
        <v>298</v>
      </c>
      <c r="C9" s="976"/>
      <c r="D9" s="976"/>
      <c r="E9" s="976"/>
      <c r="F9" s="976"/>
      <c r="G9" s="976"/>
      <c r="H9" s="976"/>
      <c r="I9" s="976"/>
      <c r="J9" s="977"/>
    </row>
    <row r="10" spans="2:10" ht="15.75" thickBot="1" x14ac:dyDescent="0.3">
      <c r="B10" s="978" t="s">
        <v>301</v>
      </c>
      <c r="C10" s="979"/>
      <c r="D10" s="979"/>
      <c r="E10" s="980"/>
      <c r="F10" s="978" t="s">
        <v>206</v>
      </c>
      <c r="G10" s="979"/>
      <c r="H10" s="979"/>
      <c r="I10" s="979"/>
      <c r="J10" s="980"/>
    </row>
    <row r="11" spans="2:10" x14ac:dyDescent="0.25">
      <c r="B11" s="663" t="s">
        <v>207</v>
      </c>
      <c r="C11" s="664"/>
      <c r="D11" s="972">
        <f>Overview!D7</f>
        <v>45048</v>
      </c>
      <c r="E11" s="753"/>
      <c r="F11" s="663" t="s">
        <v>288</v>
      </c>
      <c r="G11" s="664"/>
      <c r="H11" s="664" t="str">
        <f>Overview!L5</f>
        <v>Internal</v>
      </c>
      <c r="I11" s="664"/>
      <c r="J11" s="753"/>
    </row>
    <row r="12" spans="2:10" x14ac:dyDescent="0.25">
      <c r="B12" s="653" t="s">
        <v>299</v>
      </c>
      <c r="C12" s="654"/>
      <c r="D12" s="971">
        <f>Overview!D9</f>
        <v>45108</v>
      </c>
      <c r="E12" s="752"/>
      <c r="F12" s="653" t="s">
        <v>209</v>
      </c>
      <c r="G12" s="654"/>
      <c r="H12" s="654" t="str">
        <f>Overview!L7</f>
        <v>Franta Hrábě</v>
      </c>
      <c r="I12" s="654"/>
      <c r="J12" s="752"/>
    </row>
    <row r="13" spans="2:10" ht="15.75" thickBot="1" x14ac:dyDescent="0.3">
      <c r="B13" s="657" t="s">
        <v>300</v>
      </c>
      <c r="C13" s="640"/>
      <c r="D13" s="640" t="str">
        <f>_xlfn.CONCAT(D12-D11," days")</f>
        <v>60 days</v>
      </c>
      <c r="E13" s="751"/>
      <c r="F13" s="657" t="s">
        <v>208</v>
      </c>
      <c r="G13" s="640"/>
      <c r="H13" s="640" t="str">
        <f>Overview!L6</f>
        <v>3Key Company</v>
      </c>
      <c r="I13" s="640"/>
      <c r="J13" s="751"/>
    </row>
    <row r="14" spans="2:10" x14ac:dyDescent="0.25">
      <c r="B14" s="2"/>
      <c r="C14" s="2"/>
      <c r="D14" s="2"/>
      <c r="E14" s="2"/>
      <c r="F14" s="2"/>
      <c r="G14" s="2"/>
      <c r="H14" s="2"/>
      <c r="I14" s="2"/>
      <c r="J14" s="2"/>
    </row>
    <row r="15" spans="2:10" ht="15.75" thickBot="1" x14ac:dyDescent="0.3">
      <c r="B15" s="2"/>
      <c r="C15" s="2"/>
      <c r="D15" s="2"/>
      <c r="E15" s="2"/>
      <c r="F15" s="2"/>
      <c r="G15" s="2"/>
      <c r="H15" s="2"/>
      <c r="I15" s="2"/>
      <c r="J15" s="2"/>
    </row>
    <row r="16" spans="2:10" ht="37.5" customHeight="1" thickBot="1" x14ac:dyDescent="0.3">
      <c r="B16" s="963" t="s">
        <v>332</v>
      </c>
      <c r="C16" s="964"/>
      <c r="D16" s="964"/>
      <c r="E16" s="964"/>
      <c r="F16" s="964"/>
      <c r="G16" s="964"/>
      <c r="H16" s="964"/>
      <c r="I16" s="964"/>
      <c r="J16" s="965"/>
    </row>
    <row r="17" spans="2:10" ht="7.5" customHeight="1" x14ac:dyDescent="0.25">
      <c r="E17" s="1"/>
    </row>
    <row r="18" spans="2:10" ht="18.75" customHeight="1" thickBot="1" x14ac:dyDescent="0.3">
      <c r="B18" s="966" t="s">
        <v>407</v>
      </c>
      <c r="C18" s="967"/>
      <c r="D18" s="967" t="str">
        <f>Evaluation!C10</f>
        <v>Cool PKI</v>
      </c>
      <c r="E18" s="967"/>
      <c r="F18" s="967"/>
      <c r="G18" s="967"/>
      <c r="H18" s="967"/>
      <c r="I18" s="967"/>
      <c r="J18" s="968"/>
    </row>
    <row r="19" spans="2:10" ht="47.25" thickBot="1" x14ac:dyDescent="0.3">
      <c r="B19" s="966" t="s">
        <v>406</v>
      </c>
      <c r="C19" s="967"/>
      <c r="D19" s="969" t="str">
        <f>Evaluation!F10</f>
        <v>Basic</v>
      </c>
      <c r="E19" s="970"/>
      <c r="F19" s="970"/>
      <c r="G19" s="970"/>
      <c r="H19" s="970"/>
      <c r="I19" s="274"/>
      <c r="J19" s="274"/>
    </row>
    <row r="20" spans="2:10" ht="50.25" customHeight="1" thickBot="1" x14ac:dyDescent="0.3">
      <c r="B20" s="966" t="s">
        <v>405</v>
      </c>
      <c r="C20" s="967"/>
      <c r="D20" s="957" t="str">
        <f>Evaluation!F12</f>
        <v>Process is characterized by each particular case or project and controls are often reactive</v>
      </c>
      <c r="E20" s="957"/>
      <c r="F20" s="957"/>
      <c r="G20" s="957"/>
      <c r="H20" s="957"/>
      <c r="I20" s="957"/>
      <c r="J20" s="958"/>
    </row>
    <row r="21" spans="2:10" ht="105" customHeight="1" thickBot="1" x14ac:dyDescent="0.3">
      <c r="B21" s="955" t="s">
        <v>144</v>
      </c>
      <c r="C21" s="956"/>
      <c r="D21" s="957" t="str">
        <f>Evaluation!D14</f>
        <v>• PKI is ad-hoc managed, often reactive
• There are defined processes and procedures which are followed
• PKI is not managed according to industry standards and regulations
• Insufficient knowledge</v>
      </c>
      <c r="E21" s="957"/>
      <c r="F21" s="957"/>
      <c r="G21" s="957"/>
      <c r="H21" s="957"/>
      <c r="I21" s="957"/>
      <c r="J21" s="958"/>
    </row>
    <row r="22" spans="2:10" ht="60" customHeight="1" x14ac:dyDescent="0.25">
      <c r="B22" s="959" t="s">
        <v>145</v>
      </c>
      <c r="C22" s="960"/>
      <c r="D22" s="961" t="str">
        <f>Evaluation!D15</f>
        <v>• High probability of operational issues
• Medium probability of compromise
• no trust</v>
      </c>
      <c r="E22" s="961"/>
      <c r="F22" s="961"/>
      <c r="G22" s="961"/>
      <c r="H22" s="961"/>
      <c r="I22" s="961"/>
      <c r="J22" s="962"/>
    </row>
    <row r="23" spans="2:10" x14ac:dyDescent="0.25">
      <c r="B23" s="2"/>
      <c r="C23" s="2"/>
      <c r="D23" s="2"/>
      <c r="E23" s="2"/>
      <c r="F23" s="2"/>
      <c r="G23" s="2"/>
      <c r="H23" s="2"/>
      <c r="I23" s="2"/>
      <c r="J23" s="2"/>
    </row>
    <row r="24" spans="2:10" x14ac:dyDescent="0.25">
      <c r="B24" s="2"/>
      <c r="C24" s="2"/>
      <c r="D24" s="2"/>
      <c r="E24" s="2"/>
      <c r="F24" s="2"/>
      <c r="G24" s="2"/>
      <c r="H24" s="2"/>
      <c r="I24" s="2"/>
      <c r="J24" s="2"/>
    </row>
    <row r="25" spans="2:10" x14ac:dyDescent="0.25">
      <c r="B25" s="2"/>
      <c r="C25" s="2"/>
      <c r="D25" s="2"/>
      <c r="E25" s="2"/>
      <c r="F25" s="2"/>
      <c r="G25" s="2"/>
      <c r="H25" s="2"/>
      <c r="I25" s="2"/>
      <c r="J25" s="2"/>
    </row>
    <row r="26" spans="2:10" x14ac:dyDescent="0.25">
      <c r="B26" s="2"/>
      <c r="C26" s="2"/>
      <c r="D26" s="2"/>
      <c r="E26" s="2"/>
      <c r="F26" s="2"/>
      <c r="G26" s="2"/>
      <c r="H26" s="2"/>
      <c r="I26" s="2"/>
      <c r="J26" s="2"/>
    </row>
    <row r="27" spans="2:10" x14ac:dyDescent="0.25">
      <c r="B27" s="2"/>
      <c r="C27" s="2"/>
      <c r="D27" s="2"/>
      <c r="E27" s="2"/>
      <c r="F27" s="2"/>
      <c r="G27" s="2"/>
      <c r="H27" s="2"/>
      <c r="I27" s="2"/>
      <c r="J27" s="2"/>
    </row>
    <row r="28" spans="2:10" x14ac:dyDescent="0.25">
      <c r="B28" s="2"/>
      <c r="C28" s="2"/>
      <c r="D28" s="2"/>
      <c r="E28" s="2"/>
      <c r="F28" s="2"/>
      <c r="G28" s="2"/>
      <c r="H28" s="2"/>
      <c r="I28" s="2"/>
      <c r="J28" s="2"/>
    </row>
    <row r="29" spans="2:10" x14ac:dyDescent="0.25">
      <c r="B29" s="2"/>
      <c r="C29" s="2"/>
      <c r="D29" s="2"/>
      <c r="E29" s="2"/>
      <c r="F29" s="2"/>
      <c r="G29" s="2"/>
      <c r="H29" s="2"/>
      <c r="I29" s="2"/>
      <c r="J29" s="2"/>
    </row>
    <row r="30" spans="2:10" x14ac:dyDescent="0.25">
      <c r="B30" s="2"/>
      <c r="C30" s="2"/>
      <c r="D30" s="2"/>
      <c r="E30" s="2"/>
      <c r="F30" s="2"/>
      <c r="G30" s="2"/>
      <c r="H30" s="2"/>
      <c r="I30" s="2"/>
      <c r="J30" s="2"/>
    </row>
    <row r="31" spans="2:10" x14ac:dyDescent="0.25">
      <c r="B31" s="2"/>
      <c r="C31" s="2"/>
      <c r="D31" s="2"/>
      <c r="E31" s="2"/>
      <c r="F31" s="2"/>
      <c r="G31" s="2"/>
      <c r="H31" s="2"/>
      <c r="I31" s="2"/>
      <c r="J31" s="2"/>
    </row>
    <row r="32" spans="2:10" x14ac:dyDescent="0.25">
      <c r="B32" s="2"/>
      <c r="C32" s="2"/>
      <c r="D32" s="2"/>
      <c r="E32" s="2"/>
      <c r="F32" s="2"/>
      <c r="G32" s="2"/>
      <c r="H32" s="2"/>
      <c r="I32" s="2"/>
      <c r="J32" s="2"/>
    </row>
    <row r="33" spans="2:10" x14ac:dyDescent="0.25">
      <c r="B33" s="2"/>
      <c r="C33" s="2"/>
      <c r="D33" s="2"/>
      <c r="E33" s="2"/>
      <c r="F33" s="2"/>
      <c r="G33" s="2"/>
      <c r="H33" s="2"/>
      <c r="I33" s="2"/>
      <c r="J33" s="2"/>
    </row>
    <row r="34" spans="2:10" x14ac:dyDescent="0.25">
      <c r="B34" s="2"/>
      <c r="C34" s="2"/>
      <c r="D34" s="2"/>
      <c r="E34" s="2"/>
      <c r="F34" s="2"/>
      <c r="G34" s="2"/>
      <c r="H34" s="2"/>
      <c r="I34" s="2"/>
      <c r="J34" s="2"/>
    </row>
  </sheetData>
  <sheetProtection sheet="1" objects="1" scenarios="1"/>
  <mergeCells count="28">
    <mergeCell ref="B11:C11"/>
    <mergeCell ref="D11:E11"/>
    <mergeCell ref="F11:G11"/>
    <mergeCell ref="H11:J11"/>
    <mergeCell ref="B1:J4"/>
    <mergeCell ref="B5:J7"/>
    <mergeCell ref="B9:J9"/>
    <mergeCell ref="B10:E10"/>
    <mergeCell ref="F10:J10"/>
    <mergeCell ref="B12:C12"/>
    <mergeCell ref="D12:E12"/>
    <mergeCell ref="F12:G12"/>
    <mergeCell ref="H12:J12"/>
    <mergeCell ref="B13:C13"/>
    <mergeCell ref="D13:E13"/>
    <mergeCell ref="F13:G13"/>
    <mergeCell ref="H13:J13"/>
    <mergeCell ref="B21:C21"/>
    <mergeCell ref="D21:J21"/>
    <mergeCell ref="B22:C22"/>
    <mergeCell ref="D22:J22"/>
    <mergeCell ref="B16:J16"/>
    <mergeCell ref="B18:C18"/>
    <mergeCell ref="D18:J18"/>
    <mergeCell ref="B19:C19"/>
    <mergeCell ref="D19:H19"/>
    <mergeCell ref="B20:C20"/>
    <mergeCell ref="D20:J20"/>
  </mergeCells>
  <pageMargins left="0.37037037037037035" right="0.46296296296296297" top="0.78740157499999996" bottom="0.78740157499999996" header="0.3" footer="0.3"/>
  <pageSetup paperSize="9" orientation="portrait" r:id="rId1"/>
  <headerFooter>
    <oddHeader xml:space="preserve">&amp;LPKI Maturity Model
version 1.0&amp;R&amp;G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7AC4-6B8C-438E-95F3-508D3D46D74B}">
  <dimension ref="B1:J131"/>
  <sheetViews>
    <sheetView showGridLines="0" view="pageLayout" zoomScale="90" zoomScaleNormal="100" zoomScalePageLayoutView="90" workbookViewId="0">
      <selection activeCell="B1" sqref="B1:J4"/>
    </sheetView>
  </sheetViews>
  <sheetFormatPr defaultColWidth="8.85546875" defaultRowHeight="15" x14ac:dyDescent="0.25"/>
  <cols>
    <col min="1" max="1" width="0.28515625" customWidth="1"/>
    <col min="2" max="3" width="7.42578125" customWidth="1"/>
    <col min="4" max="4" width="14.140625" customWidth="1"/>
    <col min="6" max="6" width="11.85546875" bestFit="1" customWidth="1"/>
    <col min="8" max="8" width="11.85546875" customWidth="1"/>
    <col min="10" max="10" width="9.28515625" customWidth="1"/>
  </cols>
  <sheetData>
    <row r="1" spans="2:10" x14ac:dyDescent="0.25">
      <c r="B1" s="973" t="s">
        <v>297</v>
      </c>
      <c r="C1" s="973"/>
      <c r="D1" s="973"/>
      <c r="E1" s="973"/>
      <c r="F1" s="973"/>
      <c r="G1" s="973"/>
      <c r="H1" s="973"/>
      <c r="I1" s="973"/>
      <c r="J1" s="973"/>
    </row>
    <row r="2" spans="2:10" x14ac:dyDescent="0.25">
      <c r="B2" s="973"/>
      <c r="C2" s="973"/>
      <c r="D2" s="973"/>
      <c r="E2" s="973"/>
      <c r="F2" s="973"/>
      <c r="G2" s="973"/>
      <c r="H2" s="973"/>
      <c r="I2" s="973"/>
      <c r="J2" s="973"/>
    </row>
    <row r="3" spans="2:10" x14ac:dyDescent="0.25">
      <c r="B3" s="973"/>
      <c r="C3" s="973"/>
      <c r="D3" s="973"/>
      <c r="E3" s="973"/>
      <c r="F3" s="973"/>
      <c r="G3" s="973"/>
      <c r="H3" s="973"/>
      <c r="I3" s="973"/>
      <c r="J3" s="973"/>
    </row>
    <row r="4" spans="2:10" x14ac:dyDescent="0.25">
      <c r="B4" s="973"/>
      <c r="C4" s="973"/>
      <c r="D4" s="973"/>
      <c r="E4" s="973"/>
      <c r="F4" s="973"/>
      <c r="G4" s="973"/>
      <c r="H4" s="973"/>
      <c r="I4" s="973"/>
      <c r="J4" s="973"/>
    </row>
    <row r="5" spans="2:10" x14ac:dyDescent="0.25">
      <c r="B5" s="974" t="s">
        <v>195</v>
      </c>
      <c r="C5" s="974"/>
      <c r="D5" s="974"/>
      <c r="E5" s="974"/>
      <c r="F5" s="974"/>
      <c r="G5" s="974"/>
      <c r="H5" s="974"/>
      <c r="I5" s="974"/>
      <c r="J5" s="974"/>
    </row>
    <row r="6" spans="2:10" x14ac:dyDescent="0.25">
      <c r="B6" s="974"/>
      <c r="C6" s="974"/>
      <c r="D6" s="974"/>
      <c r="E6" s="974"/>
      <c r="F6" s="974"/>
      <c r="G6" s="974"/>
      <c r="H6" s="974"/>
      <c r="I6" s="974"/>
      <c r="J6" s="974"/>
    </row>
    <row r="7" spans="2:10" x14ac:dyDescent="0.25">
      <c r="B7" s="974"/>
      <c r="C7" s="974"/>
      <c r="D7" s="974"/>
      <c r="E7" s="974"/>
      <c r="F7" s="974"/>
      <c r="G7" s="974"/>
      <c r="H7" s="974"/>
      <c r="I7" s="974"/>
      <c r="J7" s="974"/>
    </row>
    <row r="8" spans="2:10" ht="15.75" thickBot="1" x14ac:dyDescent="0.3">
      <c r="B8" s="2"/>
      <c r="C8" s="2"/>
      <c r="D8" s="2"/>
      <c r="E8" s="2"/>
      <c r="F8" s="2"/>
      <c r="G8" s="2"/>
      <c r="H8" s="2"/>
      <c r="I8" s="2"/>
      <c r="J8" s="2"/>
    </row>
    <row r="9" spans="2:10" ht="27" thickBot="1" x14ac:dyDescent="0.3">
      <c r="B9" s="975" t="s">
        <v>298</v>
      </c>
      <c r="C9" s="976"/>
      <c r="D9" s="976"/>
      <c r="E9" s="976"/>
      <c r="F9" s="976"/>
      <c r="G9" s="976"/>
      <c r="H9" s="976"/>
      <c r="I9" s="976"/>
      <c r="J9" s="977"/>
    </row>
    <row r="10" spans="2:10" ht="15.75" thickBot="1" x14ac:dyDescent="0.3">
      <c r="B10" s="978" t="s">
        <v>301</v>
      </c>
      <c r="C10" s="979"/>
      <c r="D10" s="979"/>
      <c r="E10" s="980"/>
      <c r="F10" s="978" t="s">
        <v>206</v>
      </c>
      <c r="G10" s="979"/>
      <c r="H10" s="979"/>
      <c r="I10" s="979"/>
      <c r="J10" s="980"/>
    </row>
    <row r="11" spans="2:10" x14ac:dyDescent="0.25">
      <c r="B11" s="663" t="s">
        <v>207</v>
      </c>
      <c r="C11" s="664"/>
      <c r="D11" s="972">
        <f>Overview!D7</f>
        <v>45048</v>
      </c>
      <c r="E11" s="753"/>
      <c r="F11" s="663" t="s">
        <v>288</v>
      </c>
      <c r="G11" s="664"/>
      <c r="H11" s="664" t="str">
        <f>Overview!L5</f>
        <v>Internal</v>
      </c>
      <c r="I11" s="664"/>
      <c r="J11" s="753"/>
    </row>
    <row r="12" spans="2:10" x14ac:dyDescent="0.25">
      <c r="B12" s="653" t="s">
        <v>299</v>
      </c>
      <c r="C12" s="654"/>
      <c r="D12" s="971">
        <f>Overview!D9</f>
        <v>45108</v>
      </c>
      <c r="E12" s="752"/>
      <c r="F12" s="653" t="s">
        <v>209</v>
      </c>
      <c r="G12" s="654"/>
      <c r="H12" s="654" t="str">
        <f>Overview!L7</f>
        <v>Franta Hrábě</v>
      </c>
      <c r="I12" s="654"/>
      <c r="J12" s="752"/>
    </row>
    <row r="13" spans="2:10" ht="15.75" thickBot="1" x14ac:dyDescent="0.3">
      <c r="B13" s="657" t="s">
        <v>300</v>
      </c>
      <c r="C13" s="640"/>
      <c r="D13" s="640" t="str">
        <f>_xlfn.CONCAT(D12-D11," days")</f>
        <v>60 days</v>
      </c>
      <c r="E13" s="751"/>
      <c r="F13" s="657" t="s">
        <v>208</v>
      </c>
      <c r="G13" s="640"/>
      <c r="H13" s="640" t="str">
        <f>Overview!L6</f>
        <v>3Key Company</v>
      </c>
      <c r="I13" s="640"/>
      <c r="J13" s="751"/>
    </row>
    <row r="14" spans="2:10" x14ac:dyDescent="0.25">
      <c r="B14" s="2"/>
      <c r="C14" s="2"/>
      <c r="D14" s="2"/>
      <c r="E14" s="2"/>
      <c r="F14" s="2"/>
      <c r="G14" s="2"/>
      <c r="H14" s="2"/>
      <c r="I14" s="2"/>
      <c r="J14" s="2"/>
    </row>
    <row r="15" spans="2:10" ht="15.75" thickBot="1" x14ac:dyDescent="0.3">
      <c r="B15" s="2"/>
      <c r="C15" s="2"/>
      <c r="D15" s="2"/>
      <c r="E15" s="2"/>
      <c r="F15" s="2"/>
      <c r="G15" s="2"/>
      <c r="H15" s="2"/>
      <c r="I15" s="2"/>
      <c r="J15" s="2"/>
    </row>
    <row r="16" spans="2:10" ht="37.5" customHeight="1" thickBot="1" x14ac:dyDescent="0.3">
      <c r="B16" s="963" t="s">
        <v>332</v>
      </c>
      <c r="C16" s="964"/>
      <c r="D16" s="964"/>
      <c r="E16" s="964"/>
      <c r="F16" s="964"/>
      <c r="G16" s="964"/>
      <c r="H16" s="964"/>
      <c r="I16" s="964"/>
      <c r="J16" s="965"/>
    </row>
    <row r="17" spans="2:10" ht="7.5" customHeight="1" x14ac:dyDescent="0.25">
      <c r="E17" s="1"/>
    </row>
    <row r="18" spans="2:10" ht="18.75" customHeight="1" thickBot="1" x14ac:dyDescent="0.3">
      <c r="B18" s="966" t="s">
        <v>407</v>
      </c>
      <c r="C18" s="967"/>
      <c r="D18" s="967" t="str">
        <f>Evaluation!C10</f>
        <v>Cool PKI</v>
      </c>
      <c r="E18" s="967"/>
      <c r="F18" s="967"/>
      <c r="G18" s="967"/>
      <c r="H18" s="967"/>
      <c r="I18" s="967"/>
      <c r="J18" s="968"/>
    </row>
    <row r="19" spans="2:10" ht="47.25" thickBot="1" x14ac:dyDescent="0.3">
      <c r="B19" s="966" t="s">
        <v>406</v>
      </c>
      <c r="C19" s="967"/>
      <c r="D19" s="969" t="str">
        <f>Evaluation!F10</f>
        <v>Basic</v>
      </c>
      <c r="E19" s="970"/>
      <c r="F19" s="970"/>
      <c r="G19" s="970"/>
      <c r="H19" s="970"/>
      <c r="I19" s="274"/>
      <c r="J19" s="274"/>
    </row>
    <row r="20" spans="2:10" ht="50.25" customHeight="1" thickBot="1" x14ac:dyDescent="0.3">
      <c r="B20" s="966" t="s">
        <v>405</v>
      </c>
      <c r="C20" s="967"/>
      <c r="D20" s="957" t="str">
        <f>Evaluation!F12</f>
        <v>Process is characterized by each particular case or project and controls are often reactive</v>
      </c>
      <c r="E20" s="957"/>
      <c r="F20" s="957"/>
      <c r="G20" s="957"/>
      <c r="H20" s="957"/>
      <c r="I20" s="957"/>
      <c r="J20" s="958"/>
    </row>
    <row r="21" spans="2:10" ht="105" customHeight="1" thickBot="1" x14ac:dyDescent="0.3">
      <c r="B21" s="955" t="s">
        <v>144</v>
      </c>
      <c r="C21" s="956"/>
      <c r="D21" s="957" t="str">
        <f>Evaluation!D14</f>
        <v>• PKI is ad-hoc managed, often reactive
• There are defined processes and procedures which are followed
• PKI is not managed according to industry standards and regulations
• Insufficient knowledge</v>
      </c>
      <c r="E21" s="957"/>
      <c r="F21" s="957"/>
      <c r="G21" s="957"/>
      <c r="H21" s="957"/>
      <c r="I21" s="957"/>
      <c r="J21" s="958"/>
    </row>
    <row r="22" spans="2:10" ht="60" customHeight="1" x14ac:dyDescent="0.25">
      <c r="B22" s="959" t="s">
        <v>145</v>
      </c>
      <c r="C22" s="960"/>
      <c r="D22" s="961" t="str">
        <f>Evaluation!D15</f>
        <v>• High probability of operational issues
• Medium probability of compromise
• no trust</v>
      </c>
      <c r="E22" s="961"/>
      <c r="F22" s="961"/>
      <c r="G22" s="961"/>
      <c r="H22" s="961"/>
      <c r="I22" s="961"/>
      <c r="J22" s="962"/>
    </row>
    <row r="23" spans="2:10" x14ac:dyDescent="0.25">
      <c r="B23" s="2"/>
      <c r="C23" s="2"/>
      <c r="D23" s="2"/>
      <c r="E23" s="2"/>
      <c r="F23" s="2"/>
      <c r="G23" s="2"/>
      <c r="H23" s="2"/>
      <c r="I23" s="2"/>
      <c r="J23" s="2"/>
    </row>
    <row r="24" spans="2:10" x14ac:dyDescent="0.25">
      <c r="B24" s="2"/>
      <c r="C24" s="2"/>
      <c r="D24" s="2"/>
      <c r="E24" s="2"/>
      <c r="F24" s="2"/>
      <c r="G24" s="2"/>
      <c r="H24" s="2"/>
      <c r="I24" s="2"/>
      <c r="J24" s="2"/>
    </row>
    <row r="25" spans="2:10" x14ac:dyDescent="0.25">
      <c r="B25" s="2"/>
      <c r="C25" s="2"/>
      <c r="D25" s="2"/>
      <c r="E25" s="2"/>
      <c r="F25" s="2"/>
      <c r="G25" s="2"/>
      <c r="H25" s="2"/>
      <c r="I25" s="2"/>
      <c r="J25" s="2"/>
    </row>
    <row r="26" spans="2:10" x14ac:dyDescent="0.25">
      <c r="B26" s="2"/>
      <c r="C26" s="2"/>
      <c r="D26" s="2"/>
      <c r="E26" s="2"/>
      <c r="F26" s="2"/>
      <c r="G26" s="2"/>
      <c r="H26" s="2"/>
      <c r="I26" s="2"/>
      <c r="J26" s="2"/>
    </row>
    <row r="27" spans="2:10" x14ac:dyDescent="0.25">
      <c r="B27" s="2"/>
      <c r="C27" s="2"/>
      <c r="D27" s="2"/>
      <c r="E27" s="2"/>
      <c r="F27" s="2"/>
      <c r="G27" s="2"/>
      <c r="H27" s="2"/>
      <c r="I27" s="2"/>
      <c r="J27" s="2"/>
    </row>
    <row r="28" spans="2:10" x14ac:dyDescent="0.25">
      <c r="B28" s="2"/>
      <c r="C28" s="2"/>
      <c r="D28" s="2"/>
      <c r="E28" s="2"/>
      <c r="F28" s="2"/>
      <c r="G28" s="2"/>
      <c r="H28" s="2"/>
      <c r="I28" s="2"/>
      <c r="J28" s="2"/>
    </row>
    <row r="29" spans="2:10" x14ac:dyDescent="0.25">
      <c r="B29" s="2"/>
      <c r="C29" s="2"/>
      <c r="D29" s="2"/>
      <c r="E29" s="2"/>
      <c r="F29" s="2"/>
      <c r="G29" s="2"/>
      <c r="H29" s="2"/>
      <c r="I29" s="2"/>
      <c r="J29" s="2"/>
    </row>
    <row r="30" spans="2:10" x14ac:dyDescent="0.25">
      <c r="B30" s="2"/>
      <c r="C30" s="2"/>
      <c r="D30" s="2"/>
      <c r="E30" s="2"/>
      <c r="F30" s="2"/>
      <c r="G30" s="2"/>
      <c r="H30" s="2"/>
      <c r="I30" s="2"/>
      <c r="J30" s="2"/>
    </row>
    <row r="31" spans="2:10" x14ac:dyDescent="0.25">
      <c r="B31" s="2"/>
      <c r="C31" s="2"/>
      <c r="D31" s="2"/>
      <c r="E31" s="2"/>
      <c r="F31" s="2"/>
      <c r="G31" s="2"/>
      <c r="H31" s="2"/>
      <c r="I31" s="2"/>
      <c r="J31" s="2"/>
    </row>
    <row r="32" spans="2:10" x14ac:dyDescent="0.25">
      <c r="B32" s="2"/>
      <c r="C32" s="2"/>
      <c r="D32" s="2"/>
      <c r="E32" s="2"/>
      <c r="F32" s="2"/>
      <c r="G32" s="2"/>
      <c r="H32" s="2"/>
      <c r="I32" s="2"/>
      <c r="J32" s="2"/>
    </row>
    <row r="33" spans="2:10" x14ac:dyDescent="0.25">
      <c r="B33" s="2"/>
      <c r="C33" s="2"/>
      <c r="D33" s="2"/>
      <c r="E33" s="2"/>
      <c r="F33" s="2"/>
      <c r="G33" s="2"/>
      <c r="H33" s="2"/>
      <c r="I33" s="2"/>
      <c r="J33" s="2"/>
    </row>
    <row r="34" spans="2:10" x14ac:dyDescent="0.25">
      <c r="B34" s="2"/>
      <c r="C34" s="2"/>
      <c r="D34" s="2"/>
      <c r="E34" s="2"/>
      <c r="F34" s="2"/>
      <c r="G34" s="2"/>
      <c r="H34" s="2"/>
      <c r="I34" s="2"/>
      <c r="J34" s="2"/>
    </row>
    <row r="35" spans="2:10" ht="15.75" thickBot="1" x14ac:dyDescent="0.3">
      <c r="B35" s="2"/>
      <c r="C35" s="2"/>
      <c r="D35" s="2"/>
      <c r="E35" s="2"/>
      <c r="F35" s="2"/>
      <c r="G35" s="2"/>
      <c r="H35" s="2"/>
      <c r="I35" s="2"/>
      <c r="J35" s="2"/>
    </row>
    <row r="36" spans="2:10" ht="27" thickBot="1" x14ac:dyDescent="0.3">
      <c r="B36" s="999" t="s">
        <v>315</v>
      </c>
      <c r="C36" s="1000"/>
      <c r="D36" s="1000"/>
      <c r="E36" s="1000"/>
      <c r="F36" s="1000"/>
      <c r="G36" s="1000"/>
      <c r="H36" s="1000"/>
      <c r="I36" s="1000"/>
      <c r="J36" s="1001"/>
    </row>
    <row r="37" spans="2:10" x14ac:dyDescent="0.25">
      <c r="B37" s="994" t="s">
        <v>319</v>
      </c>
      <c r="C37" s="995"/>
      <c r="D37" s="995"/>
      <c r="E37" s="995"/>
      <c r="F37" s="243"/>
      <c r="G37" s="243"/>
      <c r="H37" s="243"/>
      <c r="I37" s="243"/>
      <c r="J37" s="244"/>
    </row>
    <row r="38" spans="2:10" ht="180" customHeight="1" thickBot="1" x14ac:dyDescent="0.3">
      <c r="B38" s="1002" t="str">
        <f>IF(Overview!B16="","",Overview!B16)</f>
        <v/>
      </c>
      <c r="C38" s="1003"/>
      <c r="D38" s="1003"/>
      <c r="E38" s="1003"/>
      <c r="F38" s="1003"/>
      <c r="G38" s="1003"/>
      <c r="H38" s="1003"/>
      <c r="I38" s="1003"/>
      <c r="J38" s="1004"/>
    </row>
    <row r="39" spans="2:10" ht="15.75" thickBot="1" x14ac:dyDescent="0.3"/>
    <row r="40" spans="2:10" x14ac:dyDescent="0.25">
      <c r="B40" s="994" t="s">
        <v>320</v>
      </c>
      <c r="C40" s="995"/>
      <c r="D40" s="995"/>
      <c r="E40" s="995"/>
      <c r="F40" s="995"/>
      <c r="G40" s="245"/>
      <c r="H40" s="245"/>
      <c r="I40" s="245"/>
      <c r="J40" s="246"/>
    </row>
    <row r="41" spans="2:10" ht="180" customHeight="1" thickBot="1" x14ac:dyDescent="0.3">
      <c r="B41" s="992" t="str">
        <f>IF(Overview!B20="","",Overview!B20)</f>
        <v/>
      </c>
      <c r="C41" s="993"/>
      <c r="D41" s="993"/>
      <c r="E41" s="993"/>
      <c r="F41" s="993"/>
      <c r="G41" s="993"/>
      <c r="H41" s="993"/>
      <c r="I41" s="993"/>
      <c r="J41" s="703"/>
    </row>
    <row r="42" spans="2:10" ht="15.75" thickBot="1" x14ac:dyDescent="0.3"/>
    <row r="43" spans="2:10" x14ac:dyDescent="0.25">
      <c r="B43" s="994" t="s">
        <v>321</v>
      </c>
      <c r="C43" s="995"/>
      <c r="D43" s="995"/>
      <c r="E43" s="995"/>
      <c r="F43" s="245"/>
      <c r="G43" s="245"/>
      <c r="H43" s="245"/>
      <c r="I43" s="245"/>
      <c r="J43" s="246"/>
    </row>
    <row r="44" spans="2:10" ht="180" customHeight="1" thickBot="1" x14ac:dyDescent="0.3">
      <c r="B44" s="992" t="str">
        <f>IF(Overview!B24="","",Overview!B24)</f>
        <v/>
      </c>
      <c r="C44" s="993"/>
      <c r="D44" s="993"/>
      <c r="E44" s="993"/>
      <c r="F44" s="993"/>
      <c r="G44" s="993"/>
      <c r="H44" s="993"/>
      <c r="I44" s="993"/>
      <c r="J44" s="703"/>
    </row>
    <row r="45" spans="2:10" x14ac:dyDescent="0.25">
      <c r="B45" s="141"/>
      <c r="C45" s="141"/>
      <c r="D45" s="141"/>
      <c r="E45" s="141"/>
      <c r="F45" s="141"/>
      <c r="G45" s="141"/>
      <c r="H45" s="141"/>
      <c r="I45" s="141"/>
      <c r="J45" s="141"/>
    </row>
    <row r="46" spans="2:10" x14ac:dyDescent="0.25">
      <c r="B46" s="141"/>
      <c r="C46" s="141"/>
      <c r="D46" s="141"/>
      <c r="E46" s="141"/>
      <c r="F46" s="141"/>
      <c r="G46" s="141"/>
      <c r="H46" s="141"/>
      <c r="I46" s="141"/>
      <c r="J46" s="141"/>
    </row>
    <row r="47" spans="2:10" x14ac:dyDescent="0.25">
      <c r="B47" s="141"/>
      <c r="C47" s="141"/>
      <c r="D47" s="141"/>
      <c r="E47" s="141"/>
      <c r="F47" s="141"/>
      <c r="G47" s="141"/>
      <c r="H47" s="141"/>
      <c r="I47" s="141"/>
      <c r="J47" s="141"/>
    </row>
    <row r="48" spans="2:10" x14ac:dyDescent="0.25">
      <c r="B48" s="141"/>
      <c r="C48" s="141"/>
      <c r="D48" s="141"/>
      <c r="E48" s="141"/>
      <c r="F48" s="141"/>
      <c r="G48" s="141"/>
      <c r="H48" s="141"/>
      <c r="I48" s="141"/>
      <c r="J48" s="141"/>
    </row>
    <row r="49" spans="2:10" x14ac:dyDescent="0.25">
      <c r="B49" s="141"/>
      <c r="C49" s="141"/>
      <c r="D49" s="141"/>
      <c r="E49" s="141"/>
      <c r="F49" s="141"/>
      <c r="G49" s="141"/>
      <c r="H49" s="141"/>
      <c r="I49" s="141"/>
      <c r="J49" s="141"/>
    </row>
    <row r="50" spans="2:10" x14ac:dyDescent="0.25">
      <c r="B50" s="141"/>
      <c r="C50" s="141"/>
      <c r="D50" s="141"/>
      <c r="E50" s="141"/>
      <c r="F50" s="141"/>
      <c r="G50" s="141"/>
      <c r="H50" s="141"/>
      <c r="I50" s="141"/>
      <c r="J50" s="141"/>
    </row>
    <row r="51" spans="2:10" ht="15.75" thickBot="1" x14ac:dyDescent="0.3"/>
    <row r="52" spans="2:10" ht="27" thickBot="1" x14ac:dyDescent="0.45">
      <c r="B52" s="989" t="s">
        <v>316</v>
      </c>
      <c r="C52" s="990"/>
      <c r="D52" s="990"/>
      <c r="E52" s="990"/>
      <c r="F52" s="990"/>
      <c r="G52" s="990"/>
      <c r="H52" s="990"/>
      <c r="I52" s="990"/>
      <c r="J52" s="991"/>
    </row>
    <row r="53" spans="2:10" ht="15.75" thickBot="1" x14ac:dyDescent="0.3"/>
    <row r="54" spans="2:10" x14ac:dyDescent="0.25">
      <c r="B54" s="994" t="s">
        <v>317</v>
      </c>
      <c r="C54" s="995"/>
      <c r="D54" s="995"/>
      <c r="E54" s="995"/>
      <c r="F54" s="995"/>
      <c r="G54" s="245"/>
      <c r="H54" s="245"/>
      <c r="I54" s="245"/>
      <c r="J54" s="246"/>
    </row>
    <row r="55" spans="2:10" ht="240" customHeight="1" thickBot="1" x14ac:dyDescent="0.3">
      <c r="B55" s="992" t="str">
        <f>IF(Overview!B31="","",Overview!B31)</f>
        <v/>
      </c>
      <c r="C55" s="993"/>
      <c r="D55" s="993"/>
      <c r="E55" s="993"/>
      <c r="F55" s="993"/>
      <c r="G55" s="993"/>
      <c r="H55" s="993"/>
      <c r="I55" s="993"/>
      <c r="J55" s="703"/>
    </row>
    <row r="56" spans="2:10" ht="15.75" thickBot="1" x14ac:dyDescent="0.3"/>
    <row r="57" spans="2:10" x14ac:dyDescent="0.25">
      <c r="B57" s="994" t="s">
        <v>318</v>
      </c>
      <c r="C57" s="995"/>
      <c r="D57" s="995"/>
      <c r="E57" s="995"/>
      <c r="F57" s="995"/>
      <c r="G57" s="995"/>
      <c r="H57" s="245"/>
      <c r="I57" s="245"/>
      <c r="J57" s="246"/>
    </row>
    <row r="58" spans="2:10" ht="240" customHeight="1" thickBot="1" x14ac:dyDescent="0.3">
      <c r="B58" s="992" t="str">
        <f>IF(Overview!B35="","",Overview!B35)</f>
        <v/>
      </c>
      <c r="C58" s="993"/>
      <c r="D58" s="993"/>
      <c r="E58" s="993"/>
      <c r="F58" s="993"/>
      <c r="G58" s="993"/>
      <c r="H58" s="993"/>
      <c r="I58" s="993"/>
      <c r="J58" s="703"/>
    </row>
    <row r="70" spans="2:10" ht="15.75" thickBot="1" x14ac:dyDescent="0.3"/>
    <row r="71" spans="2:10" ht="27" thickBot="1" x14ac:dyDescent="0.45">
      <c r="B71" s="989" t="s">
        <v>326</v>
      </c>
      <c r="C71" s="990"/>
      <c r="D71" s="990"/>
      <c r="E71" s="990"/>
      <c r="F71" s="990"/>
      <c r="G71" s="990"/>
      <c r="H71" s="990"/>
      <c r="I71" s="990"/>
      <c r="J71" s="991"/>
    </row>
    <row r="73" spans="2:10" ht="15.75" thickBot="1" x14ac:dyDescent="0.3">
      <c r="B73" s="229"/>
      <c r="C73" s="229"/>
      <c r="D73" s="229"/>
      <c r="E73" s="229"/>
      <c r="F73" s="1016" t="s">
        <v>329</v>
      </c>
      <c r="G73" s="1016"/>
      <c r="H73" s="229"/>
      <c r="I73" s="229"/>
      <c r="J73" s="273" t="s">
        <v>55</v>
      </c>
    </row>
    <row r="74" spans="2:10" ht="45" customHeight="1" thickBot="1" x14ac:dyDescent="0.3">
      <c r="B74" s="988" t="s">
        <v>328</v>
      </c>
      <c r="C74" s="988"/>
      <c r="D74" s="988"/>
      <c r="E74" s="237"/>
      <c r="F74" s="1017" t="str">
        <f>_xlfn.CONCAT(Evaluation!N10," of ",Evaluation!N10+IF(Evaluation!G10="",0,Evaluation!G10))</f>
        <v>72 of 72</v>
      </c>
      <c r="G74" s="1017"/>
      <c r="H74" s="237"/>
      <c r="I74" s="237"/>
      <c r="J74" s="285">
        <f>IF(Evaluation!G10="",0,Evaluation!G10)</f>
        <v>0</v>
      </c>
    </row>
    <row r="75" spans="2:10" ht="18.75" x14ac:dyDescent="0.25">
      <c r="B75" s="996" t="s">
        <v>330</v>
      </c>
      <c r="C75" s="996"/>
      <c r="D75" s="996"/>
      <c r="E75" s="230"/>
      <c r="F75" s="230"/>
      <c r="G75" s="230"/>
      <c r="H75" s="230"/>
      <c r="I75" s="230"/>
      <c r="J75" s="236"/>
    </row>
    <row r="76" spans="2:10" ht="3.75" customHeight="1" x14ac:dyDescent="0.25">
      <c r="B76" s="224"/>
      <c r="C76" s="224"/>
      <c r="D76" s="224"/>
      <c r="J76" s="231"/>
    </row>
    <row r="77" spans="2:10" ht="17.25" x14ac:dyDescent="0.25">
      <c r="B77" s="1015" t="str">
        <f>Evaluation!C19</f>
        <v>1. Governance</v>
      </c>
      <c r="C77" s="1015"/>
      <c r="D77" s="1015"/>
      <c r="E77" s="1015"/>
      <c r="F77" s="1011" t="str">
        <f>IF(Evaluation!N19="",tech!$A$18,_xlfn.CONCAT(Evaluation!N19," of ",Evaluation!N19+IF(Evaluation!G19="",0,Evaluation!G19)))</f>
        <v>18 of 18</v>
      </c>
      <c r="G77" s="1011"/>
      <c r="H77" s="223"/>
      <c r="I77" s="223"/>
      <c r="J77" s="232">
        <f>IF(Evaluation!G19="",0,Evaluation!G19)</f>
        <v>0</v>
      </c>
    </row>
    <row r="78" spans="2:10" ht="3.75" customHeight="1" x14ac:dyDescent="0.3">
      <c r="B78" s="228"/>
      <c r="C78" s="228"/>
      <c r="D78" s="228"/>
      <c r="F78" s="981"/>
      <c r="G78" s="981"/>
      <c r="J78" s="231"/>
    </row>
    <row r="79" spans="2:10" ht="17.25" x14ac:dyDescent="0.25">
      <c r="B79" s="1014" t="str">
        <f>Evaluation!C21</f>
        <v>2. Management</v>
      </c>
      <c r="C79" s="1014"/>
      <c r="D79" s="1014"/>
      <c r="E79" s="1014"/>
      <c r="F79" s="1010" t="str">
        <f>IF(Evaluation!N21="",tech!$A$18,_xlfn.CONCAT(Evaluation!N21," of ",Evaluation!N21+IF(Evaluation!G21="",0,Evaluation!G21)))</f>
        <v>23 of 23</v>
      </c>
      <c r="G79" s="1010"/>
      <c r="H79" s="225"/>
      <c r="I79" s="225"/>
      <c r="J79" s="233">
        <f>IF(Evaluation!G21="",0,Evaluation!G21)</f>
        <v>0</v>
      </c>
    </row>
    <row r="80" spans="2:10" ht="3.75" customHeight="1" x14ac:dyDescent="0.3">
      <c r="B80" s="228"/>
      <c r="C80" s="228"/>
      <c r="D80" s="228"/>
      <c r="F80" s="981"/>
      <c r="G80" s="981"/>
      <c r="J80" s="231"/>
    </row>
    <row r="81" spans="2:10" ht="17.25" x14ac:dyDescent="0.25">
      <c r="B81" s="1013" t="str">
        <f>Evaluation!C23</f>
        <v>3. Operations</v>
      </c>
      <c r="C81" s="1013"/>
      <c r="D81" s="1013"/>
      <c r="E81" s="1013"/>
      <c r="F81" s="1009" t="str">
        <f>IF(Evaluation!N23="",tech!$A$18,_xlfn.CONCAT(Evaluation!N23," of ",Evaluation!N23+IF(Evaluation!G23="",0,Evaluation!G23)))</f>
        <v>18 of 18</v>
      </c>
      <c r="G81" s="1009"/>
      <c r="H81" s="226"/>
      <c r="I81" s="226"/>
      <c r="J81" s="234">
        <f>IF(Evaluation!G23="",0,Evaluation!G23)</f>
        <v>0</v>
      </c>
    </row>
    <row r="82" spans="2:10" ht="3.75" customHeight="1" x14ac:dyDescent="0.3">
      <c r="B82" s="228"/>
      <c r="C82" s="228"/>
      <c r="D82" s="228"/>
      <c r="F82" s="981"/>
      <c r="G82" s="981"/>
      <c r="J82" s="231"/>
    </row>
    <row r="83" spans="2:10" ht="17.25" x14ac:dyDescent="0.25">
      <c r="B83" s="1012" t="str">
        <f>Evaluation!C25</f>
        <v>4. Resources</v>
      </c>
      <c r="C83" s="1012"/>
      <c r="D83" s="1012"/>
      <c r="E83" s="1012"/>
      <c r="F83" s="1008" t="str">
        <f>IF(Evaluation!N25="",tech!$A$18,_xlfn.CONCAT(Evaluation!N25," of ",Evaluation!N25+IF(Evaluation!G25="",0,Evaluation!G25)))</f>
        <v>13 of 13</v>
      </c>
      <c r="G83" s="1008"/>
      <c r="H83" s="227"/>
      <c r="I83" s="227"/>
      <c r="J83" s="235">
        <f>IF(Evaluation!G25="",0,Evaluation!G25)</f>
        <v>0</v>
      </c>
    </row>
    <row r="84" spans="2:10" ht="7.5" customHeight="1" thickBot="1" x14ac:dyDescent="0.3">
      <c r="J84" s="231"/>
    </row>
    <row r="85" spans="2:10" ht="18.75" x14ac:dyDescent="0.25">
      <c r="B85" s="996" t="s">
        <v>408</v>
      </c>
      <c r="C85" s="996"/>
      <c r="D85" s="996"/>
      <c r="E85" s="230"/>
      <c r="F85" s="230"/>
      <c r="G85" s="230"/>
      <c r="H85" s="230"/>
      <c r="I85" s="230"/>
      <c r="J85" s="236"/>
    </row>
    <row r="86" spans="2:10" ht="3.75" customHeight="1" x14ac:dyDescent="0.25">
      <c r="B86" s="224"/>
      <c r="C86" s="224"/>
      <c r="D86" s="224"/>
      <c r="J86" s="231"/>
    </row>
    <row r="87" spans="2:10" ht="15.75" x14ac:dyDescent="0.25">
      <c r="B87" s="997" t="str">
        <f>Evaluation!C30</f>
        <v>1.1. Strategy and vision</v>
      </c>
      <c r="C87" s="997"/>
      <c r="D87" s="997"/>
      <c r="E87" s="997"/>
      <c r="F87" s="998" t="str">
        <f>IF(Evaluation!N30="",tech!$A$18,_xlfn.CONCAT(Evaluation!N30," of ",Evaluation!N30+IF(Evaluation!G30="",0,Evaluation!G30)))</f>
        <v>4 of 4</v>
      </c>
      <c r="G87" s="998"/>
      <c r="H87" s="223"/>
      <c r="I87" s="275"/>
      <c r="J87" s="280">
        <f>IF(Evaluation!G30="",0,Evaluation!G30)</f>
        <v>0</v>
      </c>
    </row>
    <row r="88" spans="2:10" ht="3.75" customHeight="1" x14ac:dyDescent="0.25">
      <c r="F88" s="981"/>
      <c r="G88" s="981"/>
      <c r="I88" s="276"/>
      <c r="J88" s="281"/>
    </row>
    <row r="89" spans="2:10" ht="15.75" x14ac:dyDescent="0.25">
      <c r="B89" s="997" t="str">
        <f>Evaluation!C32</f>
        <v>1.2. Policies and documentation</v>
      </c>
      <c r="C89" s="997"/>
      <c r="D89" s="997"/>
      <c r="E89" s="997"/>
      <c r="F89" s="998" t="str">
        <f>IF(Evaluation!N32="",tech!$A$18,_xlfn.CONCAT(Evaluation!N32," of ",Evaluation!N32+IF(Evaluation!G32="",0,Evaluation!G32)))</f>
        <v>5 of 5</v>
      </c>
      <c r="G89" s="998"/>
      <c r="H89" s="223"/>
      <c r="I89" s="275"/>
      <c r="J89" s="280">
        <f>IF(Evaluation!G32="",0,Evaluation!G32)</f>
        <v>0</v>
      </c>
    </row>
    <row r="90" spans="2:10" ht="3.75" customHeight="1" x14ac:dyDescent="0.25">
      <c r="F90" s="981"/>
      <c r="G90" s="981"/>
      <c r="I90" s="276"/>
      <c r="J90" s="281"/>
    </row>
    <row r="91" spans="2:10" ht="15.75" x14ac:dyDescent="0.25">
      <c r="B91" s="997" t="str">
        <f>Evaluation!C34</f>
        <v>1.3. Compliance</v>
      </c>
      <c r="C91" s="997"/>
      <c r="D91" s="997"/>
      <c r="E91" s="997"/>
      <c r="F91" s="998" t="str">
        <f>IF(Evaluation!N34="",tech!$A$18,_xlfn.CONCAT(Evaluation!N34," of ",Evaluation!N34+IF(Evaluation!G34="",0,Evaluation!G34)))</f>
        <v>4 of 4</v>
      </c>
      <c r="G91" s="998"/>
      <c r="H91" s="223"/>
      <c r="I91" s="275"/>
      <c r="J91" s="280">
        <f>IF(Evaluation!G34="",0,Evaluation!G34)</f>
        <v>0</v>
      </c>
    </row>
    <row r="92" spans="2:10" ht="3.75" customHeight="1" x14ac:dyDescent="0.25">
      <c r="F92" s="981"/>
      <c r="G92" s="981"/>
      <c r="I92" s="276"/>
      <c r="J92" s="281"/>
    </row>
    <row r="93" spans="2:10" ht="15.75" x14ac:dyDescent="0.25">
      <c r="B93" s="997" t="str">
        <f>Evaluation!C36</f>
        <v>1.4. Processes and procedures</v>
      </c>
      <c r="C93" s="997"/>
      <c r="D93" s="997"/>
      <c r="E93" s="997"/>
      <c r="F93" s="998" t="str">
        <f>IF(Evaluation!N36="",tech!$A$18,_xlfn.CONCAT(Evaluation!N36," of ",Evaluation!N36+IF(Evaluation!G36="",0,Evaluation!G36)))</f>
        <v>5 of 5</v>
      </c>
      <c r="G93" s="998"/>
      <c r="H93" s="223"/>
      <c r="I93" s="275"/>
      <c r="J93" s="280">
        <f>IF(Evaluation!G36="",0,Evaluation!G36)</f>
        <v>0</v>
      </c>
    </row>
    <row r="94" spans="2:10" ht="3.75" customHeight="1" x14ac:dyDescent="0.25">
      <c r="F94" s="981"/>
      <c r="G94" s="981"/>
      <c r="I94" s="276"/>
      <c r="J94" s="281"/>
    </row>
    <row r="95" spans="2:10" ht="15.75" x14ac:dyDescent="0.25">
      <c r="B95" s="983" t="str">
        <f>Evaluation!C38</f>
        <v>2.1. Key Management</v>
      </c>
      <c r="C95" s="983"/>
      <c r="D95" s="983"/>
      <c r="E95" s="983"/>
      <c r="F95" s="982" t="str">
        <f>IF(Evaluation!N38="",tech!$A$18,_xlfn.CONCAT(Evaluation!N38," of ",Evaluation!N38+IF(Evaluation!G38="",0,Evaluation!G38)))</f>
        <v>6 of 6</v>
      </c>
      <c r="G95" s="982"/>
      <c r="H95" s="225"/>
      <c r="I95" s="277"/>
      <c r="J95" s="282">
        <f>IF(Evaluation!G38="",0,Evaluation!G38)</f>
        <v>0</v>
      </c>
    </row>
    <row r="96" spans="2:10" ht="3.75" customHeight="1" x14ac:dyDescent="0.25">
      <c r="F96" s="981"/>
      <c r="G96" s="981"/>
      <c r="I96" s="276"/>
      <c r="J96" s="281"/>
    </row>
    <row r="97" spans="2:10" ht="15.75" x14ac:dyDescent="0.25">
      <c r="B97" s="983" t="str">
        <f>Evaluation!C40</f>
        <v>2.2. Certificate Management</v>
      </c>
      <c r="C97" s="983"/>
      <c r="D97" s="983"/>
      <c r="E97" s="983"/>
      <c r="F97" s="982" t="str">
        <f>IF(Evaluation!N40="",tech!$A$18,_xlfn.CONCAT(Evaluation!N40," of ",Evaluation!N40+IF(Evaluation!G40="",0,Evaluation!G40)))</f>
        <v>7 of 7</v>
      </c>
      <c r="G97" s="982"/>
      <c r="H97" s="225"/>
      <c r="I97" s="277"/>
      <c r="J97" s="282">
        <f>IF(Evaluation!G40="",0,Evaluation!G40)</f>
        <v>0</v>
      </c>
    </row>
    <row r="98" spans="2:10" ht="3.75" customHeight="1" x14ac:dyDescent="0.25">
      <c r="F98" s="981"/>
      <c r="G98" s="981"/>
      <c r="I98" s="276"/>
      <c r="J98" s="281"/>
    </row>
    <row r="99" spans="2:10" ht="15.75" x14ac:dyDescent="0.25">
      <c r="B99" s="983" t="str">
        <f>Evaluation!C42</f>
        <v>2.3. Infrastructure Management</v>
      </c>
      <c r="C99" s="983"/>
      <c r="D99" s="983"/>
      <c r="E99" s="983"/>
      <c r="F99" s="982" t="str">
        <f>IF(Evaluation!N42="",tech!$A$18,_xlfn.CONCAT(Evaluation!N42," of ",Evaluation!N42+IF(Evaluation!G42="",0,Evaluation!G42)))</f>
        <v>5 of 5</v>
      </c>
      <c r="G99" s="982"/>
      <c r="H99" s="225"/>
      <c r="I99" s="277"/>
      <c r="J99" s="282">
        <f>IF(Evaluation!G42="",0,Evaluation!G42)</f>
        <v>0</v>
      </c>
    </row>
    <row r="100" spans="2:10" ht="3.75" customHeight="1" x14ac:dyDescent="0.25">
      <c r="F100" s="981"/>
      <c r="G100" s="981"/>
      <c r="I100" s="276"/>
      <c r="J100" s="281"/>
    </row>
    <row r="101" spans="2:10" ht="15.75" x14ac:dyDescent="0.25">
      <c r="B101" s="983" t="str">
        <f>Evaluation!C44</f>
        <v>2.4. Change Management and Agility</v>
      </c>
      <c r="C101" s="983"/>
      <c r="D101" s="983"/>
      <c r="E101" s="983"/>
      <c r="F101" s="982" t="str">
        <f>IF(Evaluation!N44="",tech!$A$18,_xlfn.CONCAT(Evaluation!N44," of ",Evaluation!N44+IF(Evaluation!G44="",0,Evaluation!G44)))</f>
        <v>5 of 5</v>
      </c>
      <c r="G101" s="982"/>
      <c r="H101" s="225"/>
      <c r="I101" s="277"/>
      <c r="J101" s="282">
        <f>IF(Evaluation!G44="",0,Evaluation!G44)</f>
        <v>0</v>
      </c>
    </row>
    <row r="102" spans="2:10" ht="3.75" customHeight="1" x14ac:dyDescent="0.25">
      <c r="F102" s="981"/>
      <c r="G102" s="981"/>
      <c r="I102" s="276"/>
      <c r="J102" s="281"/>
    </row>
    <row r="103" spans="2:10" ht="15.75" x14ac:dyDescent="0.25">
      <c r="B103" s="985" t="str">
        <f>Evaluation!C46</f>
        <v>3.1. Resilience</v>
      </c>
      <c r="C103" s="985"/>
      <c r="D103" s="985"/>
      <c r="E103" s="985"/>
      <c r="F103" s="986" t="str">
        <f>IF(Evaluation!N46="",tech!$A$18,_xlfn.CONCAT(Evaluation!N46," of ",Evaluation!N46+IF(Evaluation!G46="",0,Evaluation!G46)))</f>
        <v>6 of 6</v>
      </c>
      <c r="G103" s="986"/>
      <c r="H103" s="226"/>
      <c r="I103" s="278"/>
      <c r="J103" s="283">
        <f>IF(Evaluation!G46="",0,Evaluation!G46)</f>
        <v>0</v>
      </c>
    </row>
    <row r="104" spans="2:10" ht="3.75" customHeight="1" x14ac:dyDescent="0.25">
      <c r="F104" s="981"/>
      <c r="G104" s="981"/>
      <c r="I104" s="276"/>
      <c r="J104" s="281"/>
    </row>
    <row r="105" spans="2:10" ht="15.75" x14ac:dyDescent="0.25">
      <c r="B105" s="985" t="str">
        <f>Evaluation!C48</f>
        <v>3.2. Interoperability</v>
      </c>
      <c r="C105" s="985"/>
      <c r="D105" s="985"/>
      <c r="E105" s="985"/>
      <c r="F105" s="986" t="str">
        <f>IF(Evaluation!N48="",tech!$A$18,_xlfn.CONCAT(Evaluation!N48," of ",Evaluation!N48+IF(Evaluation!G48="",0,Evaluation!G48)))</f>
        <v>3 of 3</v>
      </c>
      <c r="G105" s="986"/>
      <c r="H105" s="226"/>
      <c r="I105" s="278"/>
      <c r="J105" s="283">
        <f>IF(Evaluation!G48="",0,Evaluation!G48)</f>
        <v>0</v>
      </c>
    </row>
    <row r="106" spans="2:10" ht="3.75" customHeight="1" x14ac:dyDescent="0.25">
      <c r="F106" s="981"/>
      <c r="G106" s="981"/>
      <c r="I106" s="276"/>
      <c r="J106" s="281"/>
    </row>
    <row r="107" spans="2:10" ht="15.75" x14ac:dyDescent="0.25">
      <c r="B107" s="985" t="str">
        <f>Evaluation!C50</f>
        <v>3.3. Monitoring and Auditing</v>
      </c>
      <c r="C107" s="985"/>
      <c r="D107" s="985"/>
      <c r="E107" s="985"/>
      <c r="F107" s="986" t="str">
        <f>IF(Evaluation!N50="",tech!$A$18,_xlfn.CONCAT(Evaluation!N50," of ",Evaluation!N50+IF(Evaluation!G50="",0,Evaluation!G50)))</f>
        <v>6 of 6</v>
      </c>
      <c r="G107" s="986"/>
      <c r="H107" s="226"/>
      <c r="I107" s="278"/>
      <c r="J107" s="283">
        <f>IF(Evaluation!G50="",0,Evaluation!G50)</f>
        <v>0</v>
      </c>
    </row>
    <row r="108" spans="2:10" ht="3.75" customHeight="1" x14ac:dyDescent="0.25">
      <c r="F108" s="981"/>
      <c r="G108" s="981"/>
      <c r="I108" s="276"/>
      <c r="J108" s="281"/>
    </row>
    <row r="109" spans="2:10" ht="15.75" x14ac:dyDescent="0.25">
      <c r="B109" s="985" t="str">
        <f>Evaluation!C52</f>
        <v>3.4. Automation</v>
      </c>
      <c r="C109" s="985"/>
      <c r="D109" s="985"/>
      <c r="E109" s="985"/>
      <c r="F109" s="986" t="str">
        <f>IF(Evaluation!N52="",tech!$A$18,_xlfn.CONCAT(Evaluation!N52," of ",Evaluation!N52+IF(Evaluation!G52="",0,Evaluation!G52)))</f>
        <v>3 of 3</v>
      </c>
      <c r="G109" s="986"/>
      <c r="H109" s="226"/>
      <c r="I109" s="278"/>
      <c r="J109" s="283">
        <f>IF(Evaluation!G52="",0,Evaluation!G52)</f>
        <v>0</v>
      </c>
    </row>
    <row r="110" spans="2:10" ht="3.75" customHeight="1" x14ac:dyDescent="0.25">
      <c r="F110" s="981"/>
      <c r="G110" s="981"/>
      <c r="I110" s="276"/>
      <c r="J110" s="281"/>
    </row>
    <row r="111" spans="2:10" ht="15.75" x14ac:dyDescent="0.25">
      <c r="B111" s="984" t="str">
        <f>Evaluation!C54</f>
        <v>4.1. Sourcing</v>
      </c>
      <c r="C111" s="984"/>
      <c r="D111" s="984"/>
      <c r="E111" s="984"/>
      <c r="F111" s="987" t="str">
        <f>IF(Evaluation!N54="",tech!$A$18,_xlfn.CONCAT(Evaluation!N54," of ",Evaluation!N54+IF(Evaluation!G54="",0,Evaluation!G54)))</f>
        <v>4 of 4</v>
      </c>
      <c r="G111" s="987"/>
      <c r="H111" s="227"/>
      <c r="I111" s="279"/>
      <c r="J111" s="284">
        <f>IF(Evaluation!G54="",0,Evaluation!G54)</f>
        <v>0</v>
      </c>
    </row>
    <row r="112" spans="2:10" ht="3.75" customHeight="1" x14ac:dyDescent="0.25">
      <c r="F112" s="981"/>
      <c r="G112" s="981"/>
      <c r="I112" s="276"/>
      <c r="J112" s="281"/>
    </row>
    <row r="113" spans="2:10" ht="15.75" x14ac:dyDescent="0.25">
      <c r="B113" s="984" t="str">
        <f>Evaluation!C56</f>
        <v>4.2. Knowledge and Training</v>
      </c>
      <c r="C113" s="984"/>
      <c r="D113" s="984"/>
      <c r="E113" s="984"/>
      <c r="F113" s="987" t="str">
        <f>IF(Evaluation!N56="",tech!$A$18,_xlfn.CONCAT(Evaluation!N56," of ",Evaluation!N56+IF(Evaluation!G56="",0,Evaluation!G56)))</f>
        <v>5 of 5</v>
      </c>
      <c r="G113" s="987"/>
      <c r="H113" s="227"/>
      <c r="I113" s="279"/>
      <c r="J113" s="284">
        <f>IF(Evaluation!G56="",0,Evaluation!G56)</f>
        <v>0</v>
      </c>
    </row>
    <row r="114" spans="2:10" ht="3.75" customHeight="1" x14ac:dyDescent="0.25">
      <c r="F114" s="981"/>
      <c r="G114" s="981"/>
      <c r="I114" s="276"/>
      <c r="J114" s="281"/>
    </row>
    <row r="115" spans="2:10" ht="15.75" x14ac:dyDescent="0.25">
      <c r="B115" s="984" t="str">
        <f>Evaluation!C58</f>
        <v>4.3. Awareness</v>
      </c>
      <c r="C115" s="984"/>
      <c r="D115" s="984"/>
      <c r="E115" s="984"/>
      <c r="F115" s="987" t="str">
        <f>IF(Evaluation!N58="",tech!$A$18,_xlfn.CONCAT(Evaluation!N58," of ",Evaluation!N58+IF(Evaluation!G58="",0,Evaluation!G58)))</f>
        <v>4 of 4</v>
      </c>
      <c r="G115" s="987"/>
      <c r="H115" s="227"/>
      <c r="I115" s="279"/>
      <c r="J115" s="284">
        <f>IF(Evaluation!G58="",0,Evaluation!G58)</f>
        <v>0</v>
      </c>
    </row>
    <row r="130" spans="2:10" ht="15.75" thickBot="1" x14ac:dyDescent="0.3"/>
    <row r="131" spans="2:10" ht="21.75" thickBot="1" x14ac:dyDescent="0.4">
      <c r="B131" s="1005" t="s">
        <v>337</v>
      </c>
      <c r="C131" s="1006"/>
      <c r="D131" s="1006"/>
      <c r="E131" s="1006"/>
      <c r="F131" s="1006"/>
      <c r="G131" s="1006"/>
      <c r="H131" s="1006"/>
      <c r="I131" s="1006"/>
      <c r="J131" s="1007"/>
    </row>
  </sheetData>
  <sheetProtection sheet="1" objects="1" scenarios="1"/>
  <mergeCells count="102">
    <mergeCell ref="B131:J131"/>
    <mergeCell ref="B16:J16"/>
    <mergeCell ref="B22:C22"/>
    <mergeCell ref="B21:C21"/>
    <mergeCell ref="D22:J22"/>
    <mergeCell ref="D21:J21"/>
    <mergeCell ref="B19:C19"/>
    <mergeCell ref="B18:C18"/>
    <mergeCell ref="B20:C20"/>
    <mergeCell ref="D20:J20"/>
    <mergeCell ref="D18:J18"/>
    <mergeCell ref="D19:H19"/>
    <mergeCell ref="B85:D85"/>
    <mergeCell ref="F83:G83"/>
    <mergeCell ref="F81:G81"/>
    <mergeCell ref="F79:G79"/>
    <mergeCell ref="F77:G77"/>
    <mergeCell ref="B83:E83"/>
    <mergeCell ref="B81:E81"/>
    <mergeCell ref="B79:E79"/>
    <mergeCell ref="B77:E77"/>
    <mergeCell ref="F73:G73"/>
    <mergeCell ref="F74:G74"/>
    <mergeCell ref="F82:G82"/>
    <mergeCell ref="B13:C13"/>
    <mergeCell ref="B12:C12"/>
    <mergeCell ref="B11:C11"/>
    <mergeCell ref="D13:E13"/>
    <mergeCell ref="D12:E12"/>
    <mergeCell ref="D11:E11"/>
    <mergeCell ref="B1:J4"/>
    <mergeCell ref="B5:J7"/>
    <mergeCell ref="B9:J9"/>
    <mergeCell ref="B10:E10"/>
    <mergeCell ref="F10:J10"/>
    <mergeCell ref="F13:G13"/>
    <mergeCell ref="F12:G12"/>
    <mergeCell ref="F11:G11"/>
    <mergeCell ref="H13:J13"/>
    <mergeCell ref="H12:J12"/>
    <mergeCell ref="H11:J11"/>
    <mergeCell ref="B36:J36"/>
    <mergeCell ref="B38:J38"/>
    <mergeCell ref="B37:E37"/>
    <mergeCell ref="B41:J41"/>
    <mergeCell ref="B40:F40"/>
    <mergeCell ref="B58:J58"/>
    <mergeCell ref="B57:G57"/>
    <mergeCell ref="B71:J71"/>
    <mergeCell ref="B43:E43"/>
    <mergeCell ref="B44:J44"/>
    <mergeCell ref="F80:G80"/>
    <mergeCell ref="F78:G78"/>
    <mergeCell ref="B74:D74"/>
    <mergeCell ref="B52:J52"/>
    <mergeCell ref="B55:J55"/>
    <mergeCell ref="B54:F54"/>
    <mergeCell ref="B75:D75"/>
    <mergeCell ref="B93:E93"/>
    <mergeCell ref="B91:E91"/>
    <mergeCell ref="B89:E89"/>
    <mergeCell ref="B87:E87"/>
    <mergeCell ref="F93:G93"/>
    <mergeCell ref="F91:G91"/>
    <mergeCell ref="F89:G89"/>
    <mergeCell ref="F87:G87"/>
    <mergeCell ref="F90:G90"/>
    <mergeCell ref="F88:G88"/>
    <mergeCell ref="F92:G92"/>
    <mergeCell ref="B103:E103"/>
    <mergeCell ref="B101:E101"/>
    <mergeCell ref="B99:E99"/>
    <mergeCell ref="B97:E97"/>
    <mergeCell ref="F115:G115"/>
    <mergeCell ref="F113:G113"/>
    <mergeCell ref="F111:G111"/>
    <mergeCell ref="F109:G109"/>
    <mergeCell ref="F107:G107"/>
    <mergeCell ref="F94:G94"/>
    <mergeCell ref="F101:G101"/>
    <mergeCell ref="F99:G99"/>
    <mergeCell ref="F97:G97"/>
    <mergeCell ref="B95:E95"/>
    <mergeCell ref="B115:E115"/>
    <mergeCell ref="B113:E113"/>
    <mergeCell ref="B111:E111"/>
    <mergeCell ref="B109:E109"/>
    <mergeCell ref="B107:E107"/>
    <mergeCell ref="F96:G96"/>
    <mergeCell ref="F114:G114"/>
    <mergeCell ref="F112:G112"/>
    <mergeCell ref="F110:G110"/>
    <mergeCell ref="F108:G108"/>
    <mergeCell ref="F106:G106"/>
    <mergeCell ref="F104:G104"/>
    <mergeCell ref="F102:G102"/>
    <mergeCell ref="F100:G100"/>
    <mergeCell ref="F98:G98"/>
    <mergeCell ref="F105:G105"/>
    <mergeCell ref="F103:G103"/>
    <mergeCell ref="F95:G95"/>
    <mergeCell ref="B105:E105"/>
  </mergeCells>
  <pageMargins left="0.37037037037037035" right="0.46296296296296297" top="0.78740157499999996" bottom="0.78740157499999996" header="0.3" footer="0.3"/>
  <pageSetup paperSize="9" orientation="portrait" r:id="rId1"/>
  <headerFooter>
    <oddHeader xml:space="preserve">&amp;LPKI Maturity Model
version 1.0&amp;R&amp;G
</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3" id="{F16C8208-8EA1-4C2C-A44C-7F25B47BDB5F}">
            <xm:f>$F77=tech!$A$18</xm:f>
            <x14:dxf>
              <font>
                <color theme="1" tint="0.499984740745262"/>
              </font>
              <fill>
                <patternFill>
                  <bgColor theme="0" tint="-0.24994659260841701"/>
                </patternFill>
              </fill>
            </x14:dxf>
          </x14:cfRule>
          <xm:sqref>B77 B79 B81 B83 B87 B89 B91 B93 B95 B97 B99 B101 B103 B105 B107 B109 B111 B113 B115</xm:sqref>
        </x14:conditionalFormatting>
        <x14:conditionalFormatting xmlns:xm="http://schemas.microsoft.com/office/excel/2006/main">
          <x14:cfRule type="cellIs" priority="1" operator="equal" id="{13A652BE-1E84-405B-A989-AE5EA519AA9A}">
            <xm:f>tech!$A$18</xm:f>
            <x14:dxf>
              <fill>
                <patternFill>
                  <bgColor theme="0" tint="-4.9989318521683403E-2"/>
                </patternFill>
              </fill>
            </x14:dxf>
          </x14:cfRule>
          <xm:sqref>F77 F79 F81 F83 F87 F89 F91 F93 F95 F97 F99 F101 F103 F105 F107 F109 F111 F113 F115</xm:sqref>
        </x14:conditionalFormatting>
        <x14:conditionalFormatting xmlns:xm="http://schemas.microsoft.com/office/excel/2006/main">
          <x14:cfRule type="expression" priority="2" id="{7BC6FCEA-5BE7-4D3B-9868-35363B81FABC}">
            <xm:f>$F77=tech!$A$18</xm:f>
            <x14:dxf>
              <font>
                <color theme="0" tint="-4.9989318521683403E-2"/>
              </font>
              <fill>
                <patternFill>
                  <bgColor theme="0" tint="-4.9989318521683403E-2"/>
                </patternFill>
              </fill>
            </x14:dxf>
          </x14:cfRule>
          <xm:sqref>H77:J77 H79:J79 H81:J81 H83:J83 H87:J87 H89:J89 H91:J91 H93:J93 H95:J95 H97:J97 H99:J99 H101:J101 H103:J103 H105:J105 H107:J107 H109:J109 H111:J111 H113:J113 H115:J115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38E3-C821-49A9-9B9E-46E421C4B18F}">
  <dimension ref="B1:J294"/>
  <sheetViews>
    <sheetView showGridLines="0" view="pageLayout" zoomScale="90" zoomScaleNormal="100" zoomScalePageLayoutView="90" workbookViewId="0">
      <selection activeCell="B1" sqref="B1:J4"/>
    </sheetView>
  </sheetViews>
  <sheetFormatPr defaultColWidth="8.85546875" defaultRowHeight="15" x14ac:dyDescent="0.25"/>
  <cols>
    <col min="1" max="1" width="0.28515625" customWidth="1"/>
    <col min="2" max="3" width="7.42578125" customWidth="1"/>
    <col min="4" max="4" width="14.140625" customWidth="1"/>
    <col min="6" max="6" width="11.85546875" bestFit="1" customWidth="1"/>
    <col min="8" max="8" width="11.85546875" bestFit="1" customWidth="1"/>
    <col min="10" max="10" width="9.28515625" customWidth="1"/>
  </cols>
  <sheetData>
    <row r="1" spans="2:10" x14ac:dyDescent="0.25">
      <c r="B1" s="973" t="s">
        <v>297</v>
      </c>
      <c r="C1" s="973"/>
      <c r="D1" s="973"/>
      <c r="E1" s="973"/>
      <c r="F1" s="973"/>
      <c r="G1" s="973"/>
      <c r="H1" s="973"/>
      <c r="I1" s="973"/>
      <c r="J1" s="973"/>
    </row>
    <row r="2" spans="2:10" x14ac:dyDescent="0.25">
      <c r="B2" s="973"/>
      <c r="C2" s="973"/>
      <c r="D2" s="973"/>
      <c r="E2" s="973"/>
      <c r="F2" s="973"/>
      <c r="G2" s="973"/>
      <c r="H2" s="973"/>
      <c r="I2" s="973"/>
      <c r="J2" s="973"/>
    </row>
    <row r="3" spans="2:10" x14ac:dyDescent="0.25">
      <c r="B3" s="973"/>
      <c r="C3" s="973"/>
      <c r="D3" s="973"/>
      <c r="E3" s="973"/>
      <c r="F3" s="973"/>
      <c r="G3" s="973"/>
      <c r="H3" s="973"/>
      <c r="I3" s="973"/>
      <c r="J3" s="973"/>
    </row>
    <row r="4" spans="2:10" x14ac:dyDescent="0.25">
      <c r="B4" s="973"/>
      <c r="C4" s="973"/>
      <c r="D4" s="973"/>
      <c r="E4" s="973"/>
      <c r="F4" s="973"/>
      <c r="G4" s="973"/>
      <c r="H4" s="973"/>
      <c r="I4" s="973"/>
      <c r="J4" s="973"/>
    </row>
    <row r="5" spans="2:10" x14ac:dyDescent="0.25">
      <c r="B5" s="974" t="s">
        <v>201</v>
      </c>
      <c r="C5" s="974"/>
      <c r="D5" s="974"/>
      <c r="E5" s="974"/>
      <c r="F5" s="974"/>
      <c r="G5" s="974"/>
      <c r="H5" s="974"/>
      <c r="I5" s="974"/>
      <c r="J5" s="974"/>
    </row>
    <row r="6" spans="2:10" x14ac:dyDescent="0.25">
      <c r="B6" s="974"/>
      <c r="C6" s="974"/>
      <c r="D6" s="974"/>
      <c r="E6" s="974"/>
      <c r="F6" s="974"/>
      <c r="G6" s="974"/>
      <c r="H6" s="974"/>
      <c r="I6" s="974"/>
      <c r="J6" s="974"/>
    </row>
    <row r="7" spans="2:10" x14ac:dyDescent="0.25">
      <c r="B7" s="974"/>
      <c r="C7" s="974"/>
      <c r="D7" s="974"/>
      <c r="E7" s="974"/>
      <c r="F7" s="974"/>
      <c r="G7" s="974"/>
      <c r="H7" s="974"/>
      <c r="I7" s="974"/>
      <c r="J7" s="974"/>
    </row>
    <row r="8" spans="2:10" ht="15.75" thickBot="1" x14ac:dyDescent="0.3">
      <c r="B8" s="2"/>
      <c r="C8" s="2"/>
      <c r="D8" s="2"/>
      <c r="E8" s="2"/>
      <c r="F8" s="2"/>
      <c r="G8" s="2"/>
      <c r="H8" s="2"/>
      <c r="I8" s="2"/>
      <c r="J8" s="2"/>
    </row>
    <row r="9" spans="2:10" ht="27" thickBot="1" x14ac:dyDescent="0.3">
      <c r="B9" s="975" t="s">
        <v>298</v>
      </c>
      <c r="C9" s="976"/>
      <c r="D9" s="976"/>
      <c r="E9" s="976"/>
      <c r="F9" s="976"/>
      <c r="G9" s="976"/>
      <c r="H9" s="976"/>
      <c r="I9" s="976"/>
      <c r="J9" s="977"/>
    </row>
    <row r="10" spans="2:10" ht="15.75" thickBot="1" x14ac:dyDescent="0.3">
      <c r="B10" s="978" t="s">
        <v>301</v>
      </c>
      <c r="C10" s="979"/>
      <c r="D10" s="979"/>
      <c r="E10" s="980"/>
      <c r="F10" s="978" t="s">
        <v>206</v>
      </c>
      <c r="G10" s="979"/>
      <c r="H10" s="979"/>
      <c r="I10" s="979"/>
      <c r="J10" s="980"/>
    </row>
    <row r="11" spans="2:10" x14ac:dyDescent="0.25">
      <c r="B11" s="663" t="s">
        <v>207</v>
      </c>
      <c r="C11" s="664"/>
      <c r="D11" s="972">
        <f>Overview!D7</f>
        <v>45048</v>
      </c>
      <c r="E11" s="753"/>
      <c r="F11" s="663" t="s">
        <v>288</v>
      </c>
      <c r="G11" s="664"/>
      <c r="H11" s="664" t="str">
        <f>Overview!L5</f>
        <v>Internal</v>
      </c>
      <c r="I11" s="664"/>
      <c r="J11" s="753"/>
    </row>
    <row r="12" spans="2:10" x14ac:dyDescent="0.25">
      <c r="B12" s="653" t="s">
        <v>299</v>
      </c>
      <c r="C12" s="654"/>
      <c r="D12" s="971">
        <f>Overview!D9</f>
        <v>45108</v>
      </c>
      <c r="E12" s="752"/>
      <c r="F12" s="653" t="s">
        <v>209</v>
      </c>
      <c r="G12" s="654"/>
      <c r="H12" s="654" t="str">
        <f>Overview!L7</f>
        <v>Franta Hrábě</v>
      </c>
      <c r="I12" s="654"/>
      <c r="J12" s="752"/>
    </row>
    <row r="13" spans="2:10" ht="15.75" thickBot="1" x14ac:dyDescent="0.3">
      <c r="B13" s="657" t="s">
        <v>300</v>
      </c>
      <c r="C13" s="640"/>
      <c r="D13" s="640" t="str">
        <f>_xlfn.CONCAT(D12-D11," days")</f>
        <v>60 days</v>
      </c>
      <c r="E13" s="751"/>
      <c r="F13" s="657" t="s">
        <v>208</v>
      </c>
      <c r="G13" s="640"/>
      <c r="H13" s="640" t="str">
        <f>Overview!L6</f>
        <v>3Key Company</v>
      </c>
      <c r="I13" s="640"/>
      <c r="J13" s="751"/>
    </row>
    <row r="14" spans="2:10" x14ac:dyDescent="0.25">
      <c r="B14" s="2"/>
      <c r="C14" s="2"/>
      <c r="D14" s="2"/>
      <c r="E14" s="2"/>
      <c r="F14" s="2"/>
      <c r="G14" s="2"/>
      <c r="H14" s="2"/>
      <c r="I14" s="2"/>
      <c r="J14" s="2"/>
    </row>
    <row r="15" spans="2:10" ht="15.75" thickBot="1" x14ac:dyDescent="0.3">
      <c r="B15" s="2"/>
      <c r="C15" s="2"/>
      <c r="D15" s="2"/>
      <c r="E15" s="2"/>
      <c r="F15" s="2"/>
      <c r="G15" s="2"/>
      <c r="H15" s="2"/>
      <c r="I15" s="2"/>
      <c r="J15" s="2"/>
    </row>
    <row r="16" spans="2:10" ht="37.5" customHeight="1" thickBot="1" x14ac:dyDescent="0.3">
      <c r="B16" s="963" t="s">
        <v>332</v>
      </c>
      <c r="C16" s="964"/>
      <c r="D16" s="964"/>
      <c r="E16" s="964"/>
      <c r="F16" s="964"/>
      <c r="G16" s="964"/>
      <c r="H16" s="964"/>
      <c r="I16" s="964"/>
      <c r="J16" s="965"/>
    </row>
    <row r="17" spans="2:10" ht="7.5" customHeight="1" x14ac:dyDescent="0.25">
      <c r="E17" s="1"/>
    </row>
    <row r="18" spans="2:10" ht="18.75" customHeight="1" thickBot="1" x14ac:dyDescent="0.3">
      <c r="B18" s="966" t="s">
        <v>407</v>
      </c>
      <c r="C18" s="967"/>
      <c r="D18" s="967" t="str">
        <f>Evaluation!C10</f>
        <v>Cool PKI</v>
      </c>
      <c r="E18" s="967"/>
      <c r="F18" s="967"/>
      <c r="G18" s="967"/>
      <c r="H18" s="967"/>
      <c r="I18" s="967"/>
      <c r="J18" s="968"/>
    </row>
    <row r="19" spans="2:10" ht="47.25" thickBot="1" x14ac:dyDescent="0.3">
      <c r="B19" s="966" t="s">
        <v>406</v>
      </c>
      <c r="C19" s="967"/>
      <c r="D19" s="969" t="str">
        <f>Evaluation!F10</f>
        <v>Basic</v>
      </c>
      <c r="E19" s="970"/>
      <c r="F19" s="970"/>
      <c r="G19" s="970"/>
      <c r="H19" s="970"/>
      <c r="I19" s="274"/>
      <c r="J19" s="274"/>
    </row>
    <row r="20" spans="2:10" ht="50.25" customHeight="1" thickBot="1" x14ac:dyDescent="0.3">
      <c r="B20" s="966" t="s">
        <v>405</v>
      </c>
      <c r="C20" s="967"/>
      <c r="D20" s="957" t="str">
        <f>Evaluation!F12</f>
        <v>Process is characterized by each particular case or project and controls are often reactive</v>
      </c>
      <c r="E20" s="957"/>
      <c r="F20" s="957"/>
      <c r="G20" s="957"/>
      <c r="H20" s="957"/>
      <c r="I20" s="957"/>
      <c r="J20" s="958"/>
    </row>
    <row r="21" spans="2:10" ht="105" customHeight="1" thickBot="1" x14ac:dyDescent="0.3">
      <c r="B21" s="955" t="s">
        <v>144</v>
      </c>
      <c r="C21" s="956"/>
      <c r="D21" s="957" t="str">
        <f>Evaluation!D14</f>
        <v>• PKI is ad-hoc managed, often reactive
• There are defined processes and procedures which are followed
• PKI is not managed according to industry standards and regulations
• Insufficient knowledge</v>
      </c>
      <c r="E21" s="957"/>
      <c r="F21" s="957"/>
      <c r="G21" s="957"/>
      <c r="H21" s="957"/>
      <c r="I21" s="957"/>
      <c r="J21" s="958"/>
    </row>
    <row r="22" spans="2:10" ht="60" customHeight="1" x14ac:dyDescent="0.25">
      <c r="B22" s="959" t="s">
        <v>145</v>
      </c>
      <c r="C22" s="960"/>
      <c r="D22" s="961" t="str">
        <f>Evaluation!D15</f>
        <v>• High probability of operational issues
• Medium probability of compromise
• no trust</v>
      </c>
      <c r="E22" s="961"/>
      <c r="F22" s="961"/>
      <c r="G22" s="961"/>
      <c r="H22" s="961"/>
      <c r="I22" s="961"/>
      <c r="J22" s="962"/>
    </row>
    <row r="23" spans="2:10" x14ac:dyDescent="0.25">
      <c r="B23" s="2"/>
      <c r="C23" s="2"/>
      <c r="D23" s="2"/>
      <c r="E23" s="2"/>
      <c r="F23" s="2"/>
      <c r="G23" s="2"/>
      <c r="H23" s="2"/>
      <c r="I23" s="2"/>
      <c r="J23" s="2"/>
    </row>
    <row r="24" spans="2:10" x14ac:dyDescent="0.25">
      <c r="B24" s="2"/>
      <c r="C24" s="2"/>
      <c r="D24" s="2"/>
      <c r="E24" s="2"/>
      <c r="F24" s="2"/>
      <c r="G24" s="2"/>
      <c r="H24" s="2"/>
      <c r="I24" s="2"/>
      <c r="J24" s="2"/>
    </row>
    <row r="25" spans="2:10" x14ac:dyDescent="0.25">
      <c r="B25" s="2"/>
      <c r="C25" s="2"/>
      <c r="D25" s="2"/>
      <c r="E25" s="2"/>
      <c r="F25" s="2"/>
      <c r="G25" s="2"/>
      <c r="H25" s="2"/>
      <c r="I25" s="2"/>
      <c r="J25" s="2"/>
    </row>
    <row r="26" spans="2:10" x14ac:dyDescent="0.25">
      <c r="B26" s="2"/>
      <c r="C26" s="2"/>
      <c r="D26" s="2"/>
      <c r="E26" s="2"/>
      <c r="F26" s="2"/>
      <c r="G26" s="2"/>
      <c r="H26" s="2"/>
      <c r="I26" s="2"/>
      <c r="J26" s="2"/>
    </row>
    <row r="27" spans="2:10" x14ac:dyDescent="0.25">
      <c r="B27" s="2"/>
      <c r="C27" s="2"/>
      <c r="D27" s="2"/>
      <c r="E27" s="2"/>
      <c r="F27" s="2"/>
      <c r="G27" s="2"/>
      <c r="H27" s="2"/>
      <c r="I27" s="2"/>
      <c r="J27" s="2"/>
    </row>
    <row r="28" spans="2:10" x14ac:dyDescent="0.25">
      <c r="B28" s="2"/>
      <c r="C28" s="2"/>
      <c r="D28" s="2"/>
      <c r="E28" s="2"/>
      <c r="F28" s="2"/>
      <c r="G28" s="2"/>
      <c r="H28" s="2"/>
      <c r="I28" s="2"/>
      <c r="J28" s="2"/>
    </row>
    <row r="29" spans="2:10" x14ac:dyDescent="0.25">
      <c r="B29" s="2"/>
      <c r="C29" s="2"/>
      <c r="D29" s="2"/>
      <c r="E29" s="2"/>
      <c r="F29" s="2"/>
      <c r="G29" s="2"/>
      <c r="H29" s="2"/>
      <c r="I29" s="2"/>
      <c r="J29" s="2"/>
    </row>
    <row r="30" spans="2:10" x14ac:dyDescent="0.25">
      <c r="B30" s="2"/>
      <c r="C30" s="2"/>
      <c r="D30" s="2"/>
      <c r="E30" s="2"/>
      <c r="F30" s="2"/>
      <c r="G30" s="2"/>
      <c r="H30" s="2"/>
      <c r="I30" s="2"/>
      <c r="J30" s="2"/>
    </row>
    <row r="31" spans="2:10" x14ac:dyDescent="0.25">
      <c r="B31" s="2"/>
      <c r="C31" s="2"/>
      <c r="D31" s="2"/>
      <c r="E31" s="2"/>
      <c r="F31" s="2"/>
      <c r="G31" s="2"/>
      <c r="H31" s="2"/>
      <c r="I31" s="2"/>
      <c r="J31" s="2"/>
    </row>
    <row r="32" spans="2:10" x14ac:dyDescent="0.25">
      <c r="B32" s="2"/>
      <c r="C32" s="2"/>
      <c r="D32" s="2"/>
      <c r="E32" s="2"/>
      <c r="F32" s="2"/>
      <c r="G32" s="2"/>
      <c r="H32" s="2"/>
      <c r="I32" s="2"/>
      <c r="J32" s="2"/>
    </row>
    <row r="33" spans="2:10" x14ac:dyDescent="0.25">
      <c r="B33" s="2"/>
      <c r="C33" s="2"/>
      <c r="D33" s="2"/>
      <c r="E33" s="2"/>
      <c r="F33" s="2"/>
      <c r="G33" s="2"/>
      <c r="H33" s="2"/>
      <c r="I33" s="2"/>
      <c r="J33" s="2"/>
    </row>
    <row r="34" spans="2:10" x14ac:dyDescent="0.25">
      <c r="B34" s="2"/>
      <c r="C34" s="2"/>
      <c r="D34" s="2"/>
      <c r="E34" s="2"/>
      <c r="F34" s="2"/>
      <c r="G34" s="2"/>
      <c r="H34" s="2"/>
      <c r="I34" s="2"/>
      <c r="J34" s="2"/>
    </row>
    <row r="35" spans="2:10" ht="15.75" thickBot="1" x14ac:dyDescent="0.3">
      <c r="B35" s="2"/>
      <c r="C35" s="2"/>
      <c r="D35" s="2"/>
      <c r="E35" s="2"/>
      <c r="F35" s="2"/>
      <c r="G35" s="2"/>
      <c r="H35" s="2"/>
      <c r="I35" s="2"/>
      <c r="J35" s="2"/>
    </row>
    <row r="36" spans="2:10" ht="27" thickBot="1" x14ac:dyDescent="0.3">
      <c r="B36" s="999" t="s">
        <v>315</v>
      </c>
      <c r="C36" s="1000"/>
      <c r="D36" s="1000"/>
      <c r="E36" s="1000"/>
      <c r="F36" s="1000"/>
      <c r="G36" s="1000"/>
      <c r="H36" s="1000"/>
      <c r="I36" s="1000"/>
      <c r="J36" s="1001"/>
    </row>
    <row r="37" spans="2:10" x14ac:dyDescent="0.25">
      <c r="B37" s="994" t="s">
        <v>319</v>
      </c>
      <c r="C37" s="995"/>
      <c r="D37" s="995"/>
      <c r="E37" s="995"/>
      <c r="F37" s="243"/>
      <c r="G37" s="243"/>
      <c r="H37" s="243"/>
      <c r="I37" s="243"/>
      <c r="J37" s="244"/>
    </row>
    <row r="38" spans="2:10" ht="180" customHeight="1" thickBot="1" x14ac:dyDescent="0.3">
      <c r="B38" s="1002" t="str">
        <f>IF(Overview!B16="","",Overview!B16)</f>
        <v/>
      </c>
      <c r="C38" s="1003"/>
      <c r="D38" s="1003"/>
      <c r="E38" s="1003"/>
      <c r="F38" s="1003"/>
      <c r="G38" s="1003"/>
      <c r="H38" s="1003"/>
      <c r="I38" s="1003"/>
      <c r="J38" s="1004"/>
    </row>
    <row r="39" spans="2:10" ht="15.75" thickBot="1" x14ac:dyDescent="0.3"/>
    <row r="40" spans="2:10" x14ac:dyDescent="0.25">
      <c r="B40" s="994" t="s">
        <v>320</v>
      </c>
      <c r="C40" s="995"/>
      <c r="D40" s="995"/>
      <c r="E40" s="995"/>
      <c r="F40" s="995"/>
      <c r="G40" s="245"/>
      <c r="H40" s="245"/>
      <c r="I40" s="245"/>
      <c r="J40" s="246"/>
    </row>
    <row r="41" spans="2:10" ht="180" customHeight="1" thickBot="1" x14ac:dyDescent="0.3">
      <c r="B41" s="992" t="str">
        <f>IF(Overview!B20="","",Overview!B20)</f>
        <v/>
      </c>
      <c r="C41" s="993"/>
      <c r="D41" s="993"/>
      <c r="E41" s="993"/>
      <c r="F41" s="993"/>
      <c r="G41" s="993"/>
      <c r="H41" s="993"/>
      <c r="I41" s="993"/>
      <c r="J41" s="703"/>
    </row>
    <row r="42" spans="2:10" ht="15.75" thickBot="1" x14ac:dyDescent="0.3"/>
    <row r="43" spans="2:10" x14ac:dyDescent="0.25">
      <c r="B43" s="994" t="s">
        <v>321</v>
      </c>
      <c r="C43" s="995"/>
      <c r="D43" s="995"/>
      <c r="E43" s="995"/>
      <c r="F43" s="245"/>
      <c r="G43" s="245"/>
      <c r="H43" s="245"/>
      <c r="I43" s="245"/>
      <c r="J43" s="246"/>
    </row>
    <row r="44" spans="2:10" ht="180" customHeight="1" thickBot="1" x14ac:dyDescent="0.3">
      <c r="B44" s="992" t="str">
        <f>IF(Overview!B24="","",Overview!B24)</f>
        <v/>
      </c>
      <c r="C44" s="993"/>
      <c r="D44" s="993"/>
      <c r="E44" s="993"/>
      <c r="F44" s="993"/>
      <c r="G44" s="993"/>
      <c r="H44" s="993"/>
      <c r="I44" s="993"/>
      <c r="J44" s="703"/>
    </row>
    <row r="45" spans="2:10" x14ac:dyDescent="0.25">
      <c r="B45" s="141"/>
      <c r="C45" s="141"/>
      <c r="D45" s="141"/>
      <c r="E45" s="141"/>
      <c r="F45" s="141"/>
      <c r="G45" s="141"/>
      <c r="H45" s="141"/>
      <c r="I45" s="141"/>
      <c r="J45" s="141"/>
    </row>
    <row r="46" spans="2:10" x14ac:dyDescent="0.25">
      <c r="B46" s="141"/>
      <c r="C46" s="141"/>
      <c r="D46" s="141"/>
      <c r="E46" s="141"/>
      <c r="F46" s="141"/>
      <c r="G46" s="141"/>
      <c r="H46" s="141"/>
      <c r="I46" s="141"/>
      <c r="J46" s="141"/>
    </row>
    <row r="47" spans="2:10" x14ac:dyDescent="0.25">
      <c r="B47" s="141"/>
      <c r="C47" s="141"/>
      <c r="D47" s="141"/>
      <c r="E47" s="141"/>
      <c r="F47" s="141"/>
      <c r="G47" s="141"/>
      <c r="H47" s="141"/>
      <c r="I47" s="141"/>
      <c r="J47" s="141"/>
    </row>
    <row r="48" spans="2:10" x14ac:dyDescent="0.25">
      <c r="B48" s="141"/>
      <c r="C48" s="141"/>
      <c r="D48" s="141"/>
      <c r="E48" s="141"/>
      <c r="F48" s="141"/>
      <c r="G48" s="141"/>
      <c r="H48" s="141"/>
      <c r="I48" s="141"/>
      <c r="J48" s="141"/>
    </row>
    <row r="49" spans="2:10" x14ac:dyDescent="0.25">
      <c r="B49" s="141"/>
      <c r="C49" s="141"/>
      <c r="D49" s="141"/>
      <c r="E49" s="141"/>
      <c r="F49" s="141"/>
      <c r="G49" s="141"/>
      <c r="H49" s="141"/>
      <c r="I49" s="141"/>
      <c r="J49" s="141"/>
    </row>
    <row r="50" spans="2:10" x14ac:dyDescent="0.25">
      <c r="B50" s="141"/>
      <c r="C50" s="141"/>
      <c r="D50" s="141"/>
      <c r="E50" s="141"/>
      <c r="F50" s="141"/>
      <c r="G50" s="141"/>
      <c r="H50" s="141"/>
      <c r="I50" s="141"/>
      <c r="J50" s="141"/>
    </row>
    <row r="51" spans="2:10" ht="15.75" thickBot="1" x14ac:dyDescent="0.3"/>
    <row r="52" spans="2:10" ht="27" thickBot="1" x14ac:dyDescent="0.45">
      <c r="B52" s="989" t="s">
        <v>316</v>
      </c>
      <c r="C52" s="990"/>
      <c r="D52" s="990"/>
      <c r="E52" s="990"/>
      <c r="F52" s="990"/>
      <c r="G52" s="990"/>
      <c r="H52" s="990"/>
      <c r="I52" s="990"/>
      <c r="J52" s="991"/>
    </row>
    <row r="53" spans="2:10" ht="15.75" thickBot="1" x14ac:dyDescent="0.3"/>
    <row r="54" spans="2:10" x14ac:dyDescent="0.25">
      <c r="B54" s="994" t="s">
        <v>317</v>
      </c>
      <c r="C54" s="995"/>
      <c r="D54" s="995"/>
      <c r="E54" s="995"/>
      <c r="F54" s="995"/>
      <c r="G54" s="245"/>
      <c r="H54" s="245"/>
      <c r="I54" s="245"/>
      <c r="J54" s="246"/>
    </row>
    <row r="55" spans="2:10" ht="240" customHeight="1" thickBot="1" x14ac:dyDescent="0.3">
      <c r="B55" s="992" t="str">
        <f>IF(Overview!B31="","",Overview!B31)</f>
        <v/>
      </c>
      <c r="C55" s="993"/>
      <c r="D55" s="993"/>
      <c r="E55" s="993"/>
      <c r="F55" s="993"/>
      <c r="G55" s="993"/>
      <c r="H55" s="993"/>
      <c r="I55" s="993"/>
      <c r="J55" s="703"/>
    </row>
    <row r="56" spans="2:10" ht="15.75" thickBot="1" x14ac:dyDescent="0.3"/>
    <row r="57" spans="2:10" x14ac:dyDescent="0.25">
      <c r="B57" s="994" t="s">
        <v>318</v>
      </c>
      <c r="C57" s="995"/>
      <c r="D57" s="995"/>
      <c r="E57" s="995"/>
      <c r="F57" s="995"/>
      <c r="G57" s="995"/>
      <c r="H57" s="245"/>
      <c r="I57" s="245"/>
      <c r="J57" s="246"/>
    </row>
    <row r="58" spans="2:10" ht="240" customHeight="1" thickBot="1" x14ac:dyDescent="0.3">
      <c r="B58" s="992" t="str">
        <f>IF(Overview!B35="","",Overview!B35)</f>
        <v/>
      </c>
      <c r="C58" s="993"/>
      <c r="D58" s="993"/>
      <c r="E58" s="993"/>
      <c r="F58" s="993"/>
      <c r="G58" s="993"/>
      <c r="H58" s="993"/>
      <c r="I58" s="993"/>
      <c r="J58" s="703"/>
    </row>
    <row r="70" spans="2:10" ht="15.75" thickBot="1" x14ac:dyDescent="0.3"/>
    <row r="71" spans="2:10" ht="27" thickBot="1" x14ac:dyDescent="0.45">
      <c r="B71" s="989" t="s">
        <v>326</v>
      </c>
      <c r="C71" s="990"/>
      <c r="D71" s="990"/>
      <c r="E71" s="990"/>
      <c r="F71" s="990"/>
      <c r="G71" s="990"/>
      <c r="H71" s="990"/>
      <c r="I71" s="990"/>
      <c r="J71" s="991"/>
    </row>
    <row r="73" spans="2:10" ht="15.75" thickBot="1" x14ac:dyDescent="0.3">
      <c r="B73" s="229"/>
      <c r="C73" s="229"/>
      <c r="D73" s="229"/>
      <c r="E73" s="229"/>
      <c r="F73" s="1016" t="s">
        <v>329</v>
      </c>
      <c r="G73" s="1016"/>
      <c r="H73" s="229"/>
      <c r="I73" s="229"/>
      <c r="J73" s="273" t="s">
        <v>55</v>
      </c>
    </row>
    <row r="74" spans="2:10" ht="45" customHeight="1" thickBot="1" x14ac:dyDescent="0.3">
      <c r="B74" s="988" t="s">
        <v>328</v>
      </c>
      <c r="C74" s="988"/>
      <c r="D74" s="988"/>
      <c r="E74" s="237"/>
      <c r="F74" s="1017" t="str">
        <f>_xlfn.CONCAT(Evaluation!N10," of ",Evaluation!N10+IF(Evaluation!G10="",0,Evaluation!G10))</f>
        <v>72 of 72</v>
      </c>
      <c r="G74" s="1017"/>
      <c r="H74" s="237"/>
      <c r="I74" s="237"/>
      <c r="J74" s="285">
        <f>IF(Evaluation!G10="",0,Evaluation!G10)</f>
        <v>0</v>
      </c>
    </row>
    <row r="75" spans="2:10" ht="18.75" x14ac:dyDescent="0.25">
      <c r="B75" s="996" t="s">
        <v>330</v>
      </c>
      <c r="C75" s="996"/>
      <c r="D75" s="996"/>
      <c r="E75" s="230"/>
      <c r="F75" s="230"/>
      <c r="G75" s="230"/>
      <c r="H75" s="230"/>
      <c r="I75" s="230"/>
      <c r="J75" s="236"/>
    </row>
    <row r="76" spans="2:10" ht="3.75" customHeight="1" x14ac:dyDescent="0.25">
      <c r="B76" s="224"/>
      <c r="C76" s="224"/>
      <c r="D76" s="224"/>
      <c r="J76" s="231"/>
    </row>
    <row r="77" spans="2:10" ht="17.25" x14ac:dyDescent="0.25">
      <c r="B77" s="1015" t="str">
        <f>Evaluation!C19</f>
        <v>1. Governance</v>
      </c>
      <c r="C77" s="1015"/>
      <c r="D77" s="1015"/>
      <c r="E77" s="1015"/>
      <c r="F77" s="1011" t="str">
        <f>IF(Evaluation!N19="",tech!$A$18,_xlfn.CONCAT(Evaluation!N19," of ",Evaluation!N19+IF(Evaluation!G19="",0,Evaluation!G19)))</f>
        <v>18 of 18</v>
      </c>
      <c r="G77" s="1011"/>
      <c r="H77" s="223"/>
      <c r="I77" s="223"/>
      <c r="J77" s="232">
        <f>IF(Evaluation!G19="",0,Evaluation!G19)</f>
        <v>0</v>
      </c>
    </row>
    <row r="78" spans="2:10" ht="3.75" customHeight="1" x14ac:dyDescent="0.3">
      <c r="B78" s="228"/>
      <c r="C78" s="228"/>
      <c r="D78" s="228"/>
      <c r="F78" s="981"/>
      <c r="G78" s="981"/>
      <c r="J78" s="231"/>
    </row>
    <row r="79" spans="2:10" ht="17.25" x14ac:dyDescent="0.25">
      <c r="B79" s="1014" t="str">
        <f>Evaluation!C21</f>
        <v>2. Management</v>
      </c>
      <c r="C79" s="1014"/>
      <c r="D79" s="1014"/>
      <c r="E79" s="1014"/>
      <c r="F79" s="1010" t="str">
        <f>IF(Evaluation!N21="",tech!$A$18,_xlfn.CONCAT(Evaluation!N21," of ",Evaluation!N21+IF(Evaluation!G21="",0,Evaluation!G21)))</f>
        <v>23 of 23</v>
      </c>
      <c r="G79" s="1010"/>
      <c r="H79" s="225"/>
      <c r="I79" s="225"/>
      <c r="J79" s="233">
        <f>IF(Evaluation!G21="",0,Evaluation!G21)</f>
        <v>0</v>
      </c>
    </row>
    <row r="80" spans="2:10" ht="3.75" customHeight="1" x14ac:dyDescent="0.3">
      <c r="B80" s="228"/>
      <c r="C80" s="228"/>
      <c r="D80" s="228"/>
      <c r="F80" s="981"/>
      <c r="G80" s="981"/>
      <c r="J80" s="231"/>
    </row>
    <row r="81" spans="2:10" ht="17.25" x14ac:dyDescent="0.25">
      <c r="B81" s="1013" t="str">
        <f>Evaluation!C23</f>
        <v>3. Operations</v>
      </c>
      <c r="C81" s="1013"/>
      <c r="D81" s="1013"/>
      <c r="E81" s="1013"/>
      <c r="F81" s="1009" t="str">
        <f>IF(Evaluation!N23="",tech!$A$18,_xlfn.CONCAT(Evaluation!N23," of ",Evaluation!N23+IF(Evaluation!G23="",0,Evaluation!G23)))</f>
        <v>18 of 18</v>
      </c>
      <c r="G81" s="1009"/>
      <c r="H81" s="226"/>
      <c r="I81" s="226"/>
      <c r="J81" s="234">
        <f>IF(Evaluation!G23="",0,Evaluation!G23)</f>
        <v>0</v>
      </c>
    </row>
    <row r="82" spans="2:10" ht="3.75" customHeight="1" x14ac:dyDescent="0.3">
      <c r="B82" s="228"/>
      <c r="C82" s="228"/>
      <c r="D82" s="228"/>
      <c r="F82" s="981"/>
      <c r="G82" s="981"/>
      <c r="J82" s="231"/>
    </row>
    <row r="83" spans="2:10" ht="17.25" x14ac:dyDescent="0.25">
      <c r="B83" s="1012" t="str">
        <f>Evaluation!C25</f>
        <v>4. Resources</v>
      </c>
      <c r="C83" s="1012"/>
      <c r="D83" s="1012"/>
      <c r="E83" s="1012"/>
      <c r="F83" s="1008" t="str">
        <f>IF(Evaluation!N25="",tech!$A$18,_xlfn.CONCAT(Evaluation!N25," of ",Evaluation!N25+IF(Evaluation!G25="",0,Evaluation!G25)))</f>
        <v>13 of 13</v>
      </c>
      <c r="G83" s="1008"/>
      <c r="H83" s="227"/>
      <c r="I83" s="227"/>
      <c r="J83" s="235">
        <f>IF(Evaluation!G25="",0,Evaluation!G25)</f>
        <v>0</v>
      </c>
    </row>
    <row r="84" spans="2:10" ht="7.5" customHeight="1" thickBot="1" x14ac:dyDescent="0.3">
      <c r="J84" s="231"/>
    </row>
    <row r="85" spans="2:10" ht="18.75" x14ac:dyDescent="0.25">
      <c r="B85" s="996" t="s">
        <v>408</v>
      </c>
      <c r="C85" s="996"/>
      <c r="D85" s="996"/>
      <c r="E85" s="230"/>
      <c r="F85" s="230"/>
      <c r="G85" s="230"/>
      <c r="H85" s="230"/>
      <c r="I85" s="230"/>
      <c r="J85" s="236"/>
    </row>
    <row r="86" spans="2:10" ht="3.75" customHeight="1" x14ac:dyDescent="0.25">
      <c r="B86" s="224"/>
      <c r="C86" s="224"/>
      <c r="D86" s="224"/>
      <c r="J86" s="231"/>
    </row>
    <row r="87" spans="2:10" ht="15.75" x14ac:dyDescent="0.25">
      <c r="B87" s="997" t="str">
        <f>Evaluation!C30</f>
        <v>1.1. Strategy and vision</v>
      </c>
      <c r="C87" s="997"/>
      <c r="D87" s="997"/>
      <c r="E87" s="997"/>
      <c r="F87" s="998" t="str">
        <f>IF(Evaluation!N30="",tech!$A$18,_xlfn.CONCAT(Evaluation!N30," of ",Evaluation!N30+IF(Evaluation!G30="",0,Evaluation!G30)))</f>
        <v>4 of 4</v>
      </c>
      <c r="G87" s="998"/>
      <c r="H87" s="223"/>
      <c r="I87" s="275"/>
      <c r="J87" s="280">
        <f>IF(Evaluation!G30="",0,Evaluation!G30)</f>
        <v>0</v>
      </c>
    </row>
    <row r="88" spans="2:10" ht="3.75" customHeight="1" x14ac:dyDescent="0.25">
      <c r="F88" s="981"/>
      <c r="G88" s="981"/>
      <c r="I88" s="276"/>
      <c r="J88" s="281"/>
    </row>
    <row r="89" spans="2:10" ht="15.75" x14ac:dyDescent="0.25">
      <c r="B89" s="997" t="str">
        <f>Evaluation!C32</f>
        <v>1.2. Policies and documentation</v>
      </c>
      <c r="C89" s="997"/>
      <c r="D89" s="997"/>
      <c r="E89" s="997"/>
      <c r="F89" s="998" t="str">
        <f>IF(Evaluation!N32="",tech!$A$18,_xlfn.CONCAT(Evaluation!N32," of ",Evaluation!N32+IF(Evaluation!G32="",0,Evaluation!G32)))</f>
        <v>5 of 5</v>
      </c>
      <c r="G89" s="998"/>
      <c r="H89" s="223"/>
      <c r="I89" s="275"/>
      <c r="J89" s="280">
        <f>IF(Evaluation!G32="",0,Evaluation!G32)</f>
        <v>0</v>
      </c>
    </row>
    <row r="90" spans="2:10" ht="3.75" customHeight="1" x14ac:dyDescent="0.25">
      <c r="F90" s="981"/>
      <c r="G90" s="981"/>
      <c r="I90" s="276"/>
      <c r="J90" s="281"/>
    </row>
    <row r="91" spans="2:10" ht="15.75" x14ac:dyDescent="0.25">
      <c r="B91" s="997" t="str">
        <f>Evaluation!C34</f>
        <v>1.3. Compliance</v>
      </c>
      <c r="C91" s="997"/>
      <c r="D91" s="997"/>
      <c r="E91" s="997"/>
      <c r="F91" s="998" t="str">
        <f>IF(Evaluation!N34="",tech!$A$18,_xlfn.CONCAT(Evaluation!N34," of ",Evaluation!N34+IF(Evaluation!G34="",0,Evaluation!G34)))</f>
        <v>4 of 4</v>
      </c>
      <c r="G91" s="998"/>
      <c r="H91" s="223"/>
      <c r="I91" s="275"/>
      <c r="J91" s="280">
        <f>IF(Evaluation!G34="",0,Evaluation!G34)</f>
        <v>0</v>
      </c>
    </row>
    <row r="92" spans="2:10" ht="3.75" customHeight="1" x14ac:dyDescent="0.25">
      <c r="F92" s="981"/>
      <c r="G92" s="981"/>
      <c r="I92" s="276"/>
      <c r="J92" s="281"/>
    </row>
    <row r="93" spans="2:10" ht="15.75" x14ac:dyDescent="0.25">
      <c r="B93" s="997" t="str">
        <f>Evaluation!C36</f>
        <v>1.4. Processes and procedures</v>
      </c>
      <c r="C93" s="997"/>
      <c r="D93" s="997"/>
      <c r="E93" s="997"/>
      <c r="F93" s="998" t="str">
        <f>IF(Evaluation!N36="",tech!$A$18,_xlfn.CONCAT(Evaluation!N36," of ",Evaluation!N36+IF(Evaluation!G36="",0,Evaluation!G36)))</f>
        <v>5 of 5</v>
      </c>
      <c r="G93" s="998"/>
      <c r="H93" s="223"/>
      <c r="I93" s="275"/>
      <c r="J93" s="280">
        <f>IF(Evaluation!G36="",0,Evaluation!G36)</f>
        <v>0</v>
      </c>
    </row>
    <row r="94" spans="2:10" ht="3.75" customHeight="1" x14ac:dyDescent="0.25">
      <c r="F94" s="981"/>
      <c r="G94" s="981"/>
      <c r="I94" s="276"/>
      <c r="J94" s="281"/>
    </row>
    <row r="95" spans="2:10" ht="15.75" x14ac:dyDescent="0.25">
      <c r="B95" s="983" t="str">
        <f>Evaluation!C38</f>
        <v>2.1. Key Management</v>
      </c>
      <c r="C95" s="983"/>
      <c r="D95" s="983"/>
      <c r="E95" s="983"/>
      <c r="F95" s="982" t="str">
        <f>IF(Evaluation!N38="",tech!$A$18,_xlfn.CONCAT(Evaluation!N38," of ",Evaluation!N38+IF(Evaluation!G38="",0,Evaluation!G38)))</f>
        <v>6 of 6</v>
      </c>
      <c r="G95" s="982"/>
      <c r="H95" s="225"/>
      <c r="I95" s="277"/>
      <c r="J95" s="282">
        <f>IF(Evaluation!G38="",0,Evaluation!G38)</f>
        <v>0</v>
      </c>
    </row>
    <row r="96" spans="2:10" ht="3.75" customHeight="1" x14ac:dyDescent="0.25">
      <c r="F96" s="981"/>
      <c r="G96" s="981"/>
      <c r="I96" s="276"/>
      <c r="J96" s="281"/>
    </row>
    <row r="97" spans="2:10" ht="15.75" x14ac:dyDescent="0.25">
      <c r="B97" s="983" t="str">
        <f>Evaluation!C40</f>
        <v>2.2. Certificate Management</v>
      </c>
      <c r="C97" s="983"/>
      <c r="D97" s="983"/>
      <c r="E97" s="983"/>
      <c r="F97" s="982" t="str">
        <f>IF(Evaluation!N40="",tech!$A$18,_xlfn.CONCAT(Evaluation!N40," of ",Evaluation!N40+IF(Evaluation!G40="",0,Evaluation!G40)))</f>
        <v>7 of 7</v>
      </c>
      <c r="G97" s="982"/>
      <c r="H97" s="225"/>
      <c r="I97" s="277"/>
      <c r="J97" s="282">
        <f>IF(Evaluation!G40="",0,Evaluation!G40)</f>
        <v>0</v>
      </c>
    </row>
    <row r="98" spans="2:10" ht="3.75" customHeight="1" x14ac:dyDescent="0.25">
      <c r="F98" s="981"/>
      <c r="G98" s="981"/>
      <c r="I98" s="276"/>
      <c r="J98" s="281"/>
    </row>
    <row r="99" spans="2:10" ht="15.75" x14ac:dyDescent="0.25">
      <c r="B99" s="983" t="str">
        <f>Evaluation!C42</f>
        <v>2.3. Infrastructure Management</v>
      </c>
      <c r="C99" s="983"/>
      <c r="D99" s="983"/>
      <c r="E99" s="983"/>
      <c r="F99" s="982" t="str">
        <f>IF(Evaluation!N42="",tech!$A$18,_xlfn.CONCAT(Evaluation!N42," of ",Evaluation!N42+IF(Evaluation!G42="",0,Evaluation!G42)))</f>
        <v>5 of 5</v>
      </c>
      <c r="G99" s="982"/>
      <c r="H99" s="225"/>
      <c r="I99" s="277"/>
      <c r="J99" s="282">
        <f>IF(Evaluation!G42="",0,Evaluation!G42)</f>
        <v>0</v>
      </c>
    </row>
    <row r="100" spans="2:10" ht="3.75" customHeight="1" x14ac:dyDescent="0.25">
      <c r="F100" s="981"/>
      <c r="G100" s="981"/>
      <c r="I100" s="276"/>
      <c r="J100" s="281"/>
    </row>
    <row r="101" spans="2:10" ht="15.75" x14ac:dyDescent="0.25">
      <c r="B101" s="983" t="str">
        <f>Evaluation!C44</f>
        <v>2.4. Change Management and Agility</v>
      </c>
      <c r="C101" s="983"/>
      <c r="D101" s="983"/>
      <c r="E101" s="983"/>
      <c r="F101" s="982" t="str">
        <f>IF(Evaluation!N44="",tech!$A$18,_xlfn.CONCAT(Evaluation!N44," of ",Evaluation!N44+IF(Evaluation!G44="",0,Evaluation!G44)))</f>
        <v>5 of 5</v>
      </c>
      <c r="G101" s="982"/>
      <c r="H101" s="225"/>
      <c r="I101" s="277"/>
      <c r="J101" s="282">
        <f>IF(Evaluation!G44="",0,Evaluation!G44)</f>
        <v>0</v>
      </c>
    </row>
    <row r="102" spans="2:10" ht="3.75" customHeight="1" x14ac:dyDescent="0.25">
      <c r="F102" s="981"/>
      <c r="G102" s="981"/>
      <c r="I102" s="276"/>
      <c r="J102" s="281"/>
    </row>
    <row r="103" spans="2:10" ht="15.75" x14ac:dyDescent="0.25">
      <c r="B103" s="985" t="str">
        <f>Evaluation!C46</f>
        <v>3.1. Resilience</v>
      </c>
      <c r="C103" s="985"/>
      <c r="D103" s="985"/>
      <c r="E103" s="985"/>
      <c r="F103" s="986" t="str">
        <f>IF(Evaluation!N46="",tech!$A$18,_xlfn.CONCAT(Evaluation!N46," of ",Evaluation!N46+IF(Evaluation!G46="",0,Evaluation!G46)))</f>
        <v>6 of 6</v>
      </c>
      <c r="G103" s="986"/>
      <c r="H103" s="226"/>
      <c r="I103" s="278"/>
      <c r="J103" s="283">
        <f>IF(Evaluation!G46="",0,Evaluation!G46)</f>
        <v>0</v>
      </c>
    </row>
    <row r="104" spans="2:10" ht="3.75" customHeight="1" x14ac:dyDescent="0.25">
      <c r="F104" s="981"/>
      <c r="G104" s="981"/>
      <c r="I104" s="276"/>
      <c r="J104" s="281"/>
    </row>
    <row r="105" spans="2:10" ht="15.75" x14ac:dyDescent="0.25">
      <c r="B105" s="985" t="str">
        <f>Evaluation!C48</f>
        <v>3.2. Interoperability</v>
      </c>
      <c r="C105" s="985"/>
      <c r="D105" s="985"/>
      <c r="E105" s="985"/>
      <c r="F105" s="986" t="str">
        <f>IF(Evaluation!N48="",tech!$A$18,_xlfn.CONCAT(Evaluation!N48," of ",Evaluation!N48+IF(Evaluation!G48="",0,Evaluation!G48)))</f>
        <v>3 of 3</v>
      </c>
      <c r="G105" s="986"/>
      <c r="H105" s="226"/>
      <c r="I105" s="278"/>
      <c r="J105" s="283">
        <f>IF(Evaluation!G48="",0,Evaluation!G48)</f>
        <v>0</v>
      </c>
    </row>
    <row r="106" spans="2:10" ht="3.75" customHeight="1" x14ac:dyDescent="0.25">
      <c r="F106" s="981"/>
      <c r="G106" s="981"/>
      <c r="I106" s="276"/>
      <c r="J106" s="281"/>
    </row>
    <row r="107" spans="2:10" ht="15.75" x14ac:dyDescent="0.25">
      <c r="B107" s="985" t="str">
        <f>Evaluation!C50</f>
        <v>3.3. Monitoring and Auditing</v>
      </c>
      <c r="C107" s="985"/>
      <c r="D107" s="985"/>
      <c r="E107" s="985"/>
      <c r="F107" s="986" t="str">
        <f>IF(Evaluation!N50="",tech!$A$18,_xlfn.CONCAT(Evaluation!N50," of ",Evaluation!N50+IF(Evaluation!G50="",0,Evaluation!G50)))</f>
        <v>6 of 6</v>
      </c>
      <c r="G107" s="986"/>
      <c r="H107" s="226"/>
      <c r="I107" s="278"/>
      <c r="J107" s="283">
        <f>IF(Evaluation!G50="",0,Evaluation!G50)</f>
        <v>0</v>
      </c>
    </row>
    <row r="108" spans="2:10" ht="3.75" customHeight="1" x14ac:dyDescent="0.25">
      <c r="F108" s="981"/>
      <c r="G108" s="981"/>
      <c r="I108" s="276"/>
      <c r="J108" s="281"/>
    </row>
    <row r="109" spans="2:10" ht="15.75" x14ac:dyDescent="0.25">
      <c r="B109" s="985" t="str">
        <f>Evaluation!C52</f>
        <v>3.4. Automation</v>
      </c>
      <c r="C109" s="985"/>
      <c r="D109" s="985"/>
      <c r="E109" s="985"/>
      <c r="F109" s="986" t="str">
        <f>IF(Evaluation!N52="",tech!$A$18,_xlfn.CONCAT(Evaluation!N52," of ",Evaluation!N52+IF(Evaluation!G52="",0,Evaluation!G52)))</f>
        <v>3 of 3</v>
      </c>
      <c r="G109" s="986"/>
      <c r="H109" s="226"/>
      <c r="I109" s="278"/>
      <c r="J109" s="283">
        <f>IF(Evaluation!G52="",0,Evaluation!G52)</f>
        <v>0</v>
      </c>
    </row>
    <row r="110" spans="2:10" ht="3.75" customHeight="1" x14ac:dyDescent="0.25">
      <c r="F110" s="981"/>
      <c r="G110" s="981"/>
      <c r="I110" s="276"/>
      <c r="J110" s="281"/>
    </row>
    <row r="111" spans="2:10" ht="15.75" x14ac:dyDescent="0.25">
      <c r="B111" s="984" t="str">
        <f>Evaluation!C54</f>
        <v>4.1. Sourcing</v>
      </c>
      <c r="C111" s="984"/>
      <c r="D111" s="984"/>
      <c r="E111" s="984"/>
      <c r="F111" s="987" t="str">
        <f>IF(Evaluation!N54="",tech!$A$18,_xlfn.CONCAT(Evaluation!N54," of ",Evaluation!N54+IF(Evaluation!G54="",0,Evaluation!G54)))</f>
        <v>4 of 4</v>
      </c>
      <c r="G111" s="987"/>
      <c r="H111" s="227"/>
      <c r="I111" s="279"/>
      <c r="J111" s="284">
        <f>IF(Evaluation!G54="",0,Evaluation!G54)</f>
        <v>0</v>
      </c>
    </row>
    <row r="112" spans="2:10" ht="3.75" customHeight="1" x14ac:dyDescent="0.25">
      <c r="F112" s="981"/>
      <c r="G112" s="981"/>
      <c r="I112" s="276"/>
      <c r="J112" s="281"/>
    </row>
    <row r="113" spans="2:10" ht="15.75" x14ac:dyDescent="0.25">
      <c r="B113" s="984" t="str">
        <f>Evaluation!C56</f>
        <v>4.2. Knowledge and Training</v>
      </c>
      <c r="C113" s="984"/>
      <c r="D113" s="984"/>
      <c r="E113" s="984"/>
      <c r="F113" s="987" t="str">
        <f>IF(Evaluation!N56="",tech!$A$18,_xlfn.CONCAT(Evaluation!N56," of ",Evaluation!N56+IF(Evaluation!G56="",0,Evaluation!G56)))</f>
        <v>5 of 5</v>
      </c>
      <c r="G113" s="987"/>
      <c r="H113" s="227"/>
      <c r="I113" s="279"/>
      <c r="J113" s="284">
        <f>IF(Evaluation!G56="",0,Evaluation!G56)</f>
        <v>0</v>
      </c>
    </row>
    <row r="114" spans="2:10" ht="3.75" customHeight="1" x14ac:dyDescent="0.25">
      <c r="F114" s="981"/>
      <c r="G114" s="981"/>
      <c r="I114" s="276"/>
      <c r="J114" s="281"/>
    </row>
    <row r="115" spans="2:10" ht="15.75" x14ac:dyDescent="0.25">
      <c r="B115" s="984" t="str">
        <f>Evaluation!C58</f>
        <v>4.3. Awareness</v>
      </c>
      <c r="C115" s="984"/>
      <c r="D115" s="984"/>
      <c r="E115" s="984"/>
      <c r="F115" s="987" t="str">
        <f>IF(Evaluation!N58="",tech!$A$18,_xlfn.CONCAT(Evaluation!N58," of ",Evaluation!N58+IF(Evaluation!G58="",0,Evaluation!G58)))</f>
        <v>4 of 4</v>
      </c>
      <c r="G115" s="987"/>
      <c r="H115" s="227"/>
      <c r="I115" s="279"/>
      <c r="J115" s="284">
        <f>IF(Evaluation!G58="",0,Evaluation!G58)</f>
        <v>0</v>
      </c>
    </row>
    <row r="130" spans="2:10" ht="15.75" thickBot="1" x14ac:dyDescent="0.3"/>
    <row r="131" spans="2:10" ht="21.75" thickBot="1" x14ac:dyDescent="0.4">
      <c r="B131" s="1005" t="s">
        <v>337</v>
      </c>
      <c r="C131" s="1006"/>
      <c r="D131" s="1006"/>
      <c r="E131" s="1006"/>
      <c r="F131" s="1006"/>
      <c r="G131" s="1006"/>
      <c r="H131" s="1006"/>
      <c r="I131" s="1006"/>
      <c r="J131" s="1007"/>
    </row>
    <row r="179" spans="2:10" ht="15.75" thickBot="1" x14ac:dyDescent="0.3"/>
    <row r="180" spans="2:10" ht="21.75" thickBot="1" x14ac:dyDescent="0.4">
      <c r="B180" s="1005" t="s">
        <v>410</v>
      </c>
      <c r="C180" s="1006"/>
      <c r="D180" s="1006"/>
      <c r="E180" s="1006"/>
      <c r="F180" s="1006"/>
      <c r="G180" s="1006"/>
      <c r="H180" s="1006"/>
      <c r="I180" s="1006"/>
      <c r="J180" s="1007"/>
    </row>
    <row r="181" spans="2:10" ht="15.75" thickBot="1" x14ac:dyDescent="0.3"/>
    <row r="182" spans="2:10" ht="22.5" customHeight="1" thickBot="1" x14ac:dyDescent="0.3">
      <c r="B182" s="292" t="str">
        <f>LEFT(Evaluation!C19,2)</f>
        <v>1.</v>
      </c>
      <c r="C182" s="1020" t="str">
        <f>_xlfn.TEXTAFTER(Evaluation!C19," ")</f>
        <v>Governance</v>
      </c>
      <c r="D182" s="1020"/>
      <c r="E182" s="1020"/>
      <c r="F182" s="1020"/>
      <c r="G182" s="1020"/>
      <c r="H182" s="293"/>
      <c r="I182" s="293"/>
      <c r="J182" s="294"/>
    </row>
    <row r="183" spans="2:10" ht="22.5" customHeight="1" x14ac:dyDescent="0.25">
      <c r="B183" s="295" t="str">
        <f>LEFT(Evaluation!C30,4)</f>
        <v>1.1.</v>
      </c>
      <c r="C183" s="1021" t="str">
        <f>_xlfn.TEXTAFTER(Evaluation!C30," ")</f>
        <v>Strategy and vision</v>
      </c>
      <c r="D183" s="1021"/>
      <c r="E183" s="1021"/>
      <c r="F183" s="1021"/>
      <c r="G183" s="1021"/>
      <c r="H183" s="296"/>
      <c r="I183" s="296"/>
      <c r="J183" s="297"/>
    </row>
    <row r="184" spans="2:10" ht="30" customHeight="1" x14ac:dyDescent="0.25">
      <c r="B184" s="290" t="str">
        <f>tech!B140</f>
        <v>1.1.1.</v>
      </c>
      <c r="C184" s="512" t="str">
        <f>tech!C140</f>
        <v>Organizational sponsor and support</v>
      </c>
      <c r="D184" s="512"/>
      <c r="E184" s="512"/>
      <c r="F184" s="512"/>
      <c r="G184" s="512"/>
      <c r="H184" s="1024" t="str">
        <f>INDEX(tech!$A$140:$A$225,MATCH(B184,tech!$B$140:$B$225,0))</f>
        <v>Initial</v>
      </c>
      <c r="I184" s="1024"/>
      <c r="J184" s="1025"/>
    </row>
    <row r="185" spans="2:10" ht="30" customHeight="1" x14ac:dyDescent="0.25">
      <c r="B185" s="300" t="str">
        <f>tech!B141</f>
        <v>1.1.2.</v>
      </c>
      <c r="C185" s="1030" t="str">
        <f>tech!C141</f>
        <v>Formal assignment of responsible leadership</v>
      </c>
      <c r="D185" s="1030"/>
      <c r="E185" s="1030"/>
      <c r="F185" s="1030"/>
      <c r="G185" s="1030"/>
      <c r="H185" s="1026" t="str">
        <f>INDEX(tech!$A$140:$A$225,MATCH(B185,tech!$B$140:$B$225,0))</f>
        <v>Initial</v>
      </c>
      <c r="I185" s="1026"/>
      <c r="J185" s="1027"/>
    </row>
    <row r="186" spans="2:10" ht="30" customHeight="1" x14ac:dyDescent="0.25">
      <c r="B186" s="290" t="str">
        <f>tech!B142</f>
        <v>1.1.3.</v>
      </c>
      <c r="C186" s="512" t="str">
        <f>tech!C142</f>
        <v>Scope and business drivers for PKI</v>
      </c>
      <c r="D186" s="512"/>
      <c r="E186" s="512"/>
      <c r="F186" s="512"/>
      <c r="G186" s="512"/>
      <c r="H186" s="1024" t="str">
        <f>INDEX(tech!$A$140:$A$225,MATCH(B186,tech!$B$140:$B$225,0))</f>
        <v>Initial</v>
      </c>
      <c r="I186" s="1024"/>
      <c r="J186" s="1025"/>
    </row>
    <row r="187" spans="2:10" ht="30" customHeight="1" thickBot="1" x14ac:dyDescent="0.3">
      <c r="B187" s="301" t="str">
        <f>tech!B143</f>
        <v>1.1.4.</v>
      </c>
      <c r="C187" s="1031" t="str">
        <f>tech!C143</f>
        <v>Architecture and design of the PKI</v>
      </c>
      <c r="D187" s="1031"/>
      <c r="E187" s="1031"/>
      <c r="F187" s="1031"/>
      <c r="G187" s="1031"/>
      <c r="H187" s="1018" t="str">
        <f>INDEX(tech!$A$140:$A$225,MATCH(B187,tech!$B$140:$B$225,0))</f>
        <v>Initial</v>
      </c>
      <c r="I187" s="1018"/>
      <c r="J187" s="1019"/>
    </row>
    <row r="188" spans="2:10" ht="30" hidden="1" customHeight="1" x14ac:dyDescent="0.25">
      <c r="B188" s="256" t="str">
        <f>tech!B144</f>
        <v>1.1.5.</v>
      </c>
      <c r="C188" s="512" t="str">
        <f>tech!C144</f>
        <v/>
      </c>
      <c r="D188" s="512"/>
      <c r="E188" s="512"/>
      <c r="F188" s="512"/>
      <c r="G188" s="512"/>
      <c r="H188" s="1024" t="str">
        <f>INDEX(tech!$A$140:$A$225,MATCH(B188,tech!$B$140:$B$225,0))</f>
        <v/>
      </c>
      <c r="I188" s="1024"/>
      <c r="J188" s="1024"/>
    </row>
    <row r="189" spans="2:10" ht="30" hidden="1" customHeight="1" x14ac:dyDescent="0.25">
      <c r="B189" s="256" t="str">
        <f>tech!B145</f>
        <v>1.1.6.</v>
      </c>
      <c r="C189" s="512" t="str">
        <f>tech!C145</f>
        <v/>
      </c>
      <c r="D189" s="512"/>
      <c r="E189" s="512"/>
      <c r="F189" s="512"/>
      <c r="G189" s="512"/>
      <c r="H189" s="1024" t="str">
        <f>INDEX(tech!$A$140:$A$225,MATCH(B189,tech!$B$140:$B$225,0))</f>
        <v/>
      </c>
      <c r="I189" s="1024"/>
      <c r="J189" s="1024"/>
    </row>
    <row r="190" spans="2:10" ht="22.5" customHeight="1" x14ac:dyDescent="0.25">
      <c r="B190" s="295" t="str">
        <f>LEFT(Evaluation!C32,4)</f>
        <v>1.2.</v>
      </c>
      <c r="C190" s="1021" t="str">
        <f>_xlfn.TEXTAFTER(Evaluation!C32," ")</f>
        <v>Policies and documentation</v>
      </c>
      <c r="D190" s="1021"/>
      <c r="E190" s="1021"/>
      <c r="F190" s="1021"/>
      <c r="G190" s="1021"/>
      <c r="H190" s="298"/>
      <c r="I190" s="298"/>
      <c r="J190" s="299"/>
    </row>
    <row r="191" spans="2:10" ht="30" customHeight="1" x14ac:dyDescent="0.25">
      <c r="B191" s="290" t="str">
        <f>tech!B146</f>
        <v>1.2.1.</v>
      </c>
      <c r="C191" s="512" t="str">
        <f>tech!C146</f>
        <v>The scope of policies is defined and documented</v>
      </c>
      <c r="D191" s="512"/>
      <c r="E191" s="512"/>
      <c r="F191" s="512"/>
      <c r="G191" s="512"/>
      <c r="H191" s="1024" t="str">
        <f>INDEX(tech!$A$140:$A$225,MATCH(B191,tech!$B$140:$B$225,0))</f>
        <v>Basic</v>
      </c>
      <c r="I191" s="1024"/>
      <c r="J191" s="1025"/>
    </row>
    <row r="192" spans="2:10" ht="30" customHeight="1" x14ac:dyDescent="0.25">
      <c r="B192" s="300" t="str">
        <f>tech!B147</f>
        <v>1.2.2.</v>
      </c>
      <c r="C192" s="1030" t="str">
        <f>tech!C147</f>
        <v>Certificate Policy is documented and published</v>
      </c>
      <c r="D192" s="1030"/>
      <c r="E192" s="1030"/>
      <c r="F192" s="1030"/>
      <c r="G192" s="1030"/>
      <c r="H192" s="1026" t="str">
        <f>INDEX(tech!$A$140:$A$225,MATCH(B192,tech!$B$140:$B$225,0))</f>
        <v>Basic</v>
      </c>
      <c r="I192" s="1026"/>
      <c r="J192" s="1027"/>
    </row>
    <row r="193" spans="2:10" ht="30" customHeight="1" x14ac:dyDescent="0.25">
      <c r="B193" s="290" t="str">
        <f>tech!B148</f>
        <v>1.2.3.</v>
      </c>
      <c r="C193" s="512" t="str">
        <f>tech!C148</f>
        <v>Certification Practice Statement is documented and published</v>
      </c>
      <c r="D193" s="512"/>
      <c r="E193" s="512"/>
      <c r="F193" s="512"/>
      <c r="G193" s="512"/>
      <c r="H193" s="1024" t="str">
        <f>INDEX(tech!$A$140:$A$225,MATCH(B193,tech!$B$140:$B$225,0))</f>
        <v>Basic</v>
      </c>
      <c r="I193" s="1024"/>
      <c r="J193" s="1025"/>
    </row>
    <row r="194" spans="2:10" ht="30" customHeight="1" x14ac:dyDescent="0.25">
      <c r="B194" s="300" t="str">
        <f>tech!B149</f>
        <v>1.2.4.</v>
      </c>
      <c r="C194" s="1030" t="str">
        <f>tech!C149</f>
        <v>Disclosure statement is documented and published</v>
      </c>
      <c r="D194" s="1030"/>
      <c r="E194" s="1030"/>
      <c r="F194" s="1030"/>
      <c r="G194" s="1030"/>
      <c r="H194" s="1026" t="str">
        <f>INDEX(tech!$A$140:$A$225,MATCH(B194,tech!$B$140:$B$225,0))</f>
        <v>Basic</v>
      </c>
      <c r="I194" s="1026"/>
      <c r="J194" s="1027"/>
    </row>
    <row r="195" spans="2:10" ht="30" customHeight="1" thickBot="1" x14ac:dyDescent="0.3">
      <c r="B195" s="291" t="str">
        <f>tech!B150</f>
        <v>1.2.5.</v>
      </c>
      <c r="C195" s="1032" t="str">
        <f>tech!C150</f>
        <v>Policies are periodically reviewed and updated</v>
      </c>
      <c r="D195" s="1032"/>
      <c r="E195" s="1032"/>
      <c r="F195" s="1032"/>
      <c r="G195" s="1032"/>
      <c r="H195" s="1028" t="str">
        <f>INDEX(tech!$A$140:$A$225,MATCH(B195,tech!$B$140:$B$225,0))</f>
        <v>Basic</v>
      </c>
      <c r="I195" s="1028"/>
      <c r="J195" s="1029"/>
    </row>
    <row r="196" spans="2:10" ht="30" hidden="1" customHeight="1" x14ac:dyDescent="0.25">
      <c r="B196" s="256" t="str">
        <f>tech!B151</f>
        <v>1.2.6.</v>
      </c>
      <c r="C196" s="512" t="str">
        <f>tech!C151</f>
        <v/>
      </c>
      <c r="D196" s="512"/>
      <c r="E196" s="512"/>
      <c r="F196" s="512"/>
      <c r="G196" s="512"/>
      <c r="H196" s="1024" t="str">
        <f>INDEX(tech!$A$140:$A$225,MATCH(B196,tech!$B$140:$B$225,0))</f>
        <v/>
      </c>
      <c r="I196" s="1024"/>
      <c r="J196" s="1024"/>
    </row>
    <row r="197" spans="2:10" ht="30" customHeight="1" x14ac:dyDescent="0.25">
      <c r="B197" s="295" t="str">
        <f>LEFT(Evaluation!C34,4)</f>
        <v>1.3.</v>
      </c>
      <c r="C197" s="1021" t="str">
        <f>_xlfn.TEXTAFTER(Evaluation!C34," ")</f>
        <v>Compliance</v>
      </c>
      <c r="D197" s="1021"/>
      <c r="E197" s="1021"/>
      <c r="F197" s="1021"/>
      <c r="G197" s="1021"/>
      <c r="H197" s="298"/>
      <c r="I197" s="298"/>
      <c r="J197" s="299"/>
    </row>
    <row r="198" spans="2:10" ht="30" customHeight="1" x14ac:dyDescent="0.25">
      <c r="B198" s="290" t="str">
        <f>tech!B152</f>
        <v>1.3.1.</v>
      </c>
      <c r="C198" s="512" t="str">
        <f>tech!C152</f>
        <v>Compliance policies are defined, implemented, and communicated</v>
      </c>
      <c r="D198" s="512"/>
      <c r="E198" s="512"/>
      <c r="F198" s="512"/>
      <c r="G198" s="512"/>
      <c r="H198" s="1024" t="str">
        <f>INDEX(tech!$A$140:$A$225,MATCH(B198,tech!$B$140:$B$225,0))</f>
        <v>Basic</v>
      </c>
      <c r="I198" s="1024"/>
      <c r="J198" s="1025"/>
    </row>
    <row r="199" spans="2:10" ht="30" customHeight="1" x14ac:dyDescent="0.25">
      <c r="B199" s="300" t="str">
        <f>tech!B153</f>
        <v>1.3.2.</v>
      </c>
      <c r="C199" s="1030" t="str">
        <f>tech!C153</f>
        <v>A program to monitor compliance with the policies is established</v>
      </c>
      <c r="D199" s="1030"/>
      <c r="E199" s="1030"/>
      <c r="F199" s="1030"/>
      <c r="G199" s="1030"/>
      <c r="H199" s="1026" t="str">
        <f>INDEX(tech!$A$140:$A$225,MATCH(B199,tech!$B$140:$B$225,0))</f>
        <v>Basic</v>
      </c>
      <c r="I199" s="1026"/>
      <c r="J199" s="1027"/>
    </row>
    <row r="200" spans="2:10" ht="30" customHeight="1" x14ac:dyDescent="0.25">
      <c r="B200" s="290" t="str">
        <f>tech!B154</f>
        <v>1.3.3.</v>
      </c>
      <c r="C200" s="512" t="str">
        <f>tech!C154</f>
        <v>Responsibilities for the compliance are formally defined and assigned</v>
      </c>
      <c r="D200" s="512"/>
      <c r="E200" s="512"/>
      <c r="F200" s="512"/>
      <c r="G200" s="512"/>
      <c r="H200" s="1024" t="str">
        <f>INDEX(tech!$A$140:$A$225,MATCH(B200,tech!$B$140:$B$225,0))</f>
        <v>Basic</v>
      </c>
      <c r="I200" s="1024"/>
      <c r="J200" s="1025"/>
    </row>
    <row r="201" spans="2:10" ht="30" customHeight="1" thickBot="1" x14ac:dyDescent="0.3">
      <c r="B201" s="301" t="str">
        <f>tech!B155</f>
        <v>1.3.4.</v>
      </c>
      <c r="C201" s="1031" t="str">
        <f>tech!C155</f>
        <v>List of relevant laws, regulations, and standards, exist and is maintained</v>
      </c>
      <c r="D201" s="1031"/>
      <c r="E201" s="1031"/>
      <c r="F201" s="1031"/>
      <c r="G201" s="1031"/>
      <c r="H201" s="1018" t="str">
        <f>INDEX(tech!$A$140:$A$225,MATCH(B201,tech!$B$140:$B$225,0))</f>
        <v>Basic</v>
      </c>
      <c r="I201" s="1018"/>
      <c r="J201" s="1019"/>
    </row>
    <row r="202" spans="2:10" ht="30" hidden="1" customHeight="1" x14ac:dyDescent="0.25">
      <c r="B202" s="256" t="str">
        <f>tech!B156</f>
        <v>1.3.5.</v>
      </c>
      <c r="C202" s="512" t="str">
        <f>tech!C156</f>
        <v/>
      </c>
      <c r="D202" s="512"/>
      <c r="E202" s="512"/>
      <c r="F202" s="512"/>
      <c r="G202" s="512"/>
      <c r="H202" s="1024" t="str">
        <f>INDEX(tech!$A$140:$A$225,MATCH(B202,tech!$B$140:$B$225,0))</f>
        <v/>
      </c>
      <c r="I202" s="1024"/>
      <c r="J202" s="1024"/>
    </row>
    <row r="203" spans="2:10" ht="30" hidden="1" customHeight="1" x14ac:dyDescent="0.25">
      <c r="B203" s="256" t="str">
        <f>tech!B157</f>
        <v>1.3.6.</v>
      </c>
      <c r="C203" s="512" t="str">
        <f>tech!C157</f>
        <v/>
      </c>
      <c r="D203" s="512"/>
      <c r="E203" s="512"/>
      <c r="F203" s="512"/>
      <c r="G203" s="512"/>
      <c r="H203" s="1024" t="str">
        <f>INDEX(tech!$A$140:$A$225,MATCH(B203,tech!$B$140:$B$225,0))</f>
        <v/>
      </c>
      <c r="I203" s="1024"/>
      <c r="J203" s="1024"/>
    </row>
    <row r="204" spans="2:10" ht="30" customHeight="1" x14ac:dyDescent="0.25">
      <c r="B204" s="295" t="str">
        <f>LEFT(Evaluation!C36,4)</f>
        <v>1.4.</v>
      </c>
      <c r="C204" s="1021" t="str">
        <f>_xlfn.TEXTAFTER(Evaluation!C36," ")</f>
        <v>Processes and procedures</v>
      </c>
      <c r="D204" s="1021"/>
      <c r="E204" s="1021"/>
      <c r="F204" s="1021"/>
      <c r="G204" s="1021"/>
      <c r="H204" s="298"/>
      <c r="I204" s="298"/>
      <c r="J204" s="299"/>
    </row>
    <row r="205" spans="2:10" ht="30" customHeight="1" x14ac:dyDescent="0.25">
      <c r="B205" s="290" t="str">
        <f>tech!B158</f>
        <v>1.4.1.</v>
      </c>
      <c r="C205" s="512" t="str">
        <f>tech!C158</f>
        <v>Scope of processes and procedure is aligned with policies</v>
      </c>
      <c r="D205" s="512"/>
      <c r="E205" s="512"/>
      <c r="F205" s="512"/>
      <c r="G205" s="512"/>
      <c r="H205" s="1024" t="str">
        <f>INDEX(tech!$A$140:$A$225,MATCH(B205,tech!$B$140:$B$225,0))</f>
        <v>Advanced</v>
      </c>
      <c r="I205" s="1024"/>
      <c r="J205" s="1025"/>
    </row>
    <row r="206" spans="2:10" ht="30" customHeight="1" x14ac:dyDescent="0.25">
      <c r="B206" s="300" t="str">
        <f>tech!B159</f>
        <v>1.4.2.</v>
      </c>
      <c r="C206" s="1030" t="str">
        <f>tech!C159</f>
        <v>Processes and procedures are formally documented and followed</v>
      </c>
      <c r="D206" s="1030"/>
      <c r="E206" s="1030"/>
      <c r="F206" s="1030"/>
      <c r="G206" s="1030"/>
      <c r="H206" s="1026" t="str">
        <f>INDEX(tech!$A$140:$A$225,MATCH(B206,tech!$B$140:$B$225,0))</f>
        <v>Advanced</v>
      </c>
      <c r="I206" s="1026"/>
      <c r="J206" s="1027"/>
    </row>
    <row r="207" spans="2:10" ht="30" customHeight="1" x14ac:dyDescent="0.25">
      <c r="B207" s="290" t="str">
        <f>tech!B160</f>
        <v>1.4.3.</v>
      </c>
      <c r="C207" s="512" t="str">
        <f>tech!C160</f>
        <v>Recurring activities are executed on time</v>
      </c>
      <c r="D207" s="512"/>
      <c r="E207" s="512"/>
      <c r="F207" s="512"/>
      <c r="G207" s="512"/>
      <c r="H207" s="1024" t="str">
        <f>INDEX(tech!$A$140:$A$225,MATCH(B207,tech!$B$140:$B$225,0))</f>
        <v>Optimized</v>
      </c>
      <c r="I207" s="1024"/>
      <c r="J207" s="1025"/>
    </row>
    <row r="208" spans="2:10" ht="30" customHeight="1" x14ac:dyDescent="0.25">
      <c r="B208" s="300" t="str">
        <f>tech!B161</f>
        <v>1.4.4.</v>
      </c>
      <c r="C208" s="1030" t="str">
        <f>tech!C161</f>
        <v>Evidence from procedures is collected and maintained</v>
      </c>
      <c r="D208" s="1030"/>
      <c r="E208" s="1030"/>
      <c r="F208" s="1030"/>
      <c r="G208" s="1030"/>
      <c r="H208" s="1026" t="str">
        <f>INDEX(tech!$A$140:$A$225,MATCH(B208,tech!$B$140:$B$225,0))</f>
        <v>Advanced</v>
      </c>
      <c r="I208" s="1026"/>
      <c r="J208" s="1027"/>
    </row>
    <row r="209" spans="2:10" ht="30" customHeight="1" thickBot="1" x14ac:dyDescent="0.3">
      <c r="B209" s="291" t="str">
        <f>tech!B162</f>
        <v>1.4.5.</v>
      </c>
      <c r="C209" s="1032" t="str">
        <f>tech!C162</f>
        <v>Processes and procedures are reviewed and updated</v>
      </c>
      <c r="D209" s="1032"/>
      <c r="E209" s="1032"/>
      <c r="F209" s="1032"/>
      <c r="G209" s="1032"/>
      <c r="H209" s="1028" t="str">
        <f>INDEX(tech!$A$140:$A$225,MATCH(B209,tech!$B$140:$B$225,0))</f>
        <v>Managed</v>
      </c>
      <c r="I209" s="1028"/>
      <c r="J209" s="1029"/>
    </row>
    <row r="210" spans="2:10" ht="30" hidden="1" customHeight="1" x14ac:dyDescent="0.25">
      <c r="B210" s="256" t="str">
        <f>tech!B163</f>
        <v>1.4.6.</v>
      </c>
      <c r="C210" s="512" t="str">
        <f>tech!C163</f>
        <v/>
      </c>
      <c r="D210" s="512"/>
      <c r="E210" s="512"/>
      <c r="F210" s="512"/>
      <c r="G210" s="512"/>
      <c r="H210" s="1024" t="str">
        <f>INDEX(tech!$A$140:$A$225,MATCH(B210,tech!$B$140:$B$225,0))</f>
        <v/>
      </c>
      <c r="I210" s="1024"/>
      <c r="J210" s="1024"/>
    </row>
    <row r="211" spans="2:10" ht="30" customHeight="1" x14ac:dyDescent="0.25">
      <c r="B211" s="256"/>
      <c r="C211" s="259"/>
      <c r="D211" s="259"/>
      <c r="E211" s="259"/>
      <c r="F211" s="259"/>
      <c r="G211" s="259"/>
      <c r="H211" s="69"/>
      <c r="I211" s="69"/>
      <c r="J211" s="69"/>
    </row>
    <row r="212" spans="2:10" ht="15.75" thickBot="1" x14ac:dyDescent="0.3">
      <c r="B212" s="256"/>
      <c r="C212" s="259"/>
      <c r="D212" s="259"/>
      <c r="E212" s="259"/>
      <c r="F212" s="259"/>
      <c r="G212" s="259"/>
      <c r="H212" s="69"/>
      <c r="I212" s="69"/>
      <c r="J212" s="69"/>
    </row>
    <row r="213" spans="2:10" ht="30" customHeight="1" thickBot="1" x14ac:dyDescent="0.3">
      <c r="B213" s="302" t="str">
        <f>LEFT(Evaluation!C21,2)</f>
        <v>2.</v>
      </c>
      <c r="C213" s="1022" t="str">
        <f>_xlfn.TEXTAFTER(Evaluation!C21," ")</f>
        <v>Management</v>
      </c>
      <c r="D213" s="1022"/>
      <c r="E213" s="1022"/>
      <c r="F213" s="1022"/>
      <c r="G213" s="1022"/>
      <c r="H213" s="303"/>
      <c r="I213" s="303"/>
      <c r="J213" s="304"/>
    </row>
    <row r="214" spans="2:10" ht="30" customHeight="1" x14ac:dyDescent="0.25">
      <c r="B214" s="305" t="str">
        <f>LEFT(Evaluation!C38,4)</f>
        <v>2.1.</v>
      </c>
      <c r="C214" s="1023" t="str">
        <f>_xlfn.TEXTAFTER(Evaluation!C38," ")</f>
        <v>Key Management</v>
      </c>
      <c r="D214" s="1023"/>
      <c r="E214" s="1023"/>
      <c r="F214" s="1023"/>
      <c r="G214" s="1023"/>
      <c r="H214" s="306"/>
      <c r="I214" s="306"/>
      <c r="J214" s="307"/>
    </row>
    <row r="215" spans="2:10" ht="30" customHeight="1" x14ac:dyDescent="0.25">
      <c r="B215" s="290" t="str">
        <f>tech!B164</f>
        <v>2.1.1.</v>
      </c>
      <c r="C215" s="512" t="str">
        <f>tech!C164</f>
        <v>Key management roles and responsibilities are documented and formally assigned</v>
      </c>
      <c r="D215" s="512"/>
      <c r="E215" s="512"/>
      <c r="F215" s="512"/>
      <c r="G215" s="512"/>
      <c r="H215" s="1024" t="str">
        <f>INDEX(tech!$A$140:$A$225,MATCH(B215,tech!$B$140:$B$225,0))</f>
        <v>Advanced</v>
      </c>
      <c r="I215" s="1024"/>
      <c r="J215" s="1025"/>
    </row>
    <row r="216" spans="2:10" ht="30" customHeight="1" x14ac:dyDescent="0.25">
      <c r="B216" s="300" t="str">
        <f>tech!B165</f>
        <v>2.1.2.</v>
      </c>
      <c r="C216" s="1030" t="str">
        <f>tech!C165</f>
        <v>Inventory of cryptographic keys is documented and maintained</v>
      </c>
      <c r="D216" s="1030"/>
      <c r="E216" s="1030"/>
      <c r="F216" s="1030"/>
      <c r="G216" s="1030"/>
      <c r="H216" s="1026" t="str">
        <f>INDEX(tech!$A$140:$A$225,MATCH(B216,tech!$B$140:$B$225,0))</f>
        <v>Basic</v>
      </c>
      <c r="I216" s="1026"/>
      <c r="J216" s="1027"/>
    </row>
    <row r="217" spans="2:10" ht="30" customHeight="1" x14ac:dyDescent="0.25">
      <c r="B217" s="290" t="str">
        <f>tech!B166</f>
        <v>2.1.3.</v>
      </c>
      <c r="C217" s="512" t="str">
        <f>tech!C166</f>
        <v>Inventory of cryptographic devices is documented and maintained</v>
      </c>
      <c r="D217" s="512"/>
      <c r="E217" s="512"/>
      <c r="F217" s="512"/>
      <c r="G217" s="512"/>
      <c r="H217" s="1024" t="str">
        <f>INDEX(tech!$A$140:$A$225,MATCH(B217,tech!$B$140:$B$225,0))</f>
        <v>Managed</v>
      </c>
      <c r="I217" s="1024"/>
      <c r="J217" s="1025"/>
    </row>
    <row r="218" spans="2:10" ht="30" customHeight="1" x14ac:dyDescent="0.25">
      <c r="B218" s="300" t="str">
        <f>tech!B167</f>
        <v>2.1.4.</v>
      </c>
      <c r="C218" s="1030" t="str">
        <f>tech!C167</f>
        <v>Each cryptographic key is defined and has documented lifecycle procedures</v>
      </c>
      <c r="D218" s="1030"/>
      <c r="E218" s="1030"/>
      <c r="F218" s="1030"/>
      <c r="G218" s="1030"/>
      <c r="H218" s="1026" t="str">
        <f>INDEX(tech!$A$140:$A$225,MATCH(B218,tech!$B$140:$B$225,0))</f>
        <v>Managed</v>
      </c>
      <c r="I218" s="1026"/>
      <c r="J218" s="1027"/>
    </row>
    <row r="219" spans="2:10" ht="30" customHeight="1" x14ac:dyDescent="0.25">
      <c r="B219" s="290" t="str">
        <f>tech!B168</f>
        <v>2.1.5.</v>
      </c>
      <c r="C219" s="512" t="str">
        <f>tech!C168</f>
        <v>Cryptographic cipher suites and protocols are documented and maintained</v>
      </c>
      <c r="D219" s="512"/>
      <c r="E219" s="512"/>
      <c r="F219" s="512"/>
      <c r="G219" s="512"/>
      <c r="H219" s="1024" t="str">
        <f>INDEX(tech!$A$140:$A$225,MATCH(B219,tech!$B$140:$B$225,0))</f>
        <v>Basic</v>
      </c>
      <c r="I219" s="1024"/>
      <c r="J219" s="1025"/>
    </row>
    <row r="220" spans="2:10" ht="22.5" customHeight="1" thickBot="1" x14ac:dyDescent="0.3">
      <c r="B220" s="301" t="str">
        <f>tech!B169</f>
        <v>2.1.6.</v>
      </c>
      <c r="C220" s="1031" t="str">
        <f>tech!C169</f>
        <v>Key management is periodically reviewed and updated</v>
      </c>
      <c r="D220" s="1031"/>
      <c r="E220" s="1031"/>
      <c r="F220" s="1031"/>
      <c r="G220" s="1031"/>
      <c r="H220" s="1018" t="str">
        <f>INDEX(tech!$A$140:$A$225,MATCH(B220,tech!$B$140:$B$225,0))</f>
        <v>Managed</v>
      </c>
      <c r="I220" s="1018"/>
      <c r="J220" s="1019"/>
    </row>
    <row r="221" spans="2:10" ht="30" customHeight="1" x14ac:dyDescent="0.25">
      <c r="B221" s="305" t="str">
        <f>LEFT(Evaluation!C40,4)</f>
        <v>2.2.</v>
      </c>
      <c r="C221" s="1023" t="str">
        <f>_xlfn.TEXTAFTER(Evaluation!C40," ")</f>
        <v>Certificate Management</v>
      </c>
      <c r="D221" s="1023"/>
      <c r="E221" s="1023"/>
      <c r="F221" s="1023"/>
      <c r="G221" s="1023"/>
      <c r="H221" s="308"/>
      <c r="I221" s="308"/>
      <c r="J221" s="309"/>
    </row>
    <row r="222" spans="2:10" ht="22.5" customHeight="1" x14ac:dyDescent="0.25">
      <c r="B222" s="290" t="str">
        <f>tech!B170</f>
        <v>2.2.1.</v>
      </c>
      <c r="C222" s="512" t="str">
        <f>tech!C170</f>
        <v>Certificate profiles are documented</v>
      </c>
      <c r="D222" s="512"/>
      <c r="E222" s="512"/>
      <c r="F222" s="512"/>
      <c r="G222" s="512"/>
      <c r="H222" s="1024" t="str">
        <f>INDEX(tech!$A$140:$A$225,MATCH(B222,tech!$B$140:$B$225,0))</f>
        <v>Managed</v>
      </c>
      <c r="I222" s="1024"/>
      <c r="J222" s="1025"/>
    </row>
    <row r="223" spans="2:10" ht="22.5" customHeight="1" x14ac:dyDescent="0.25">
      <c r="B223" s="300" t="str">
        <f>tech!B171</f>
        <v>2.2.2.</v>
      </c>
      <c r="C223" s="1030" t="str">
        <f>tech!C171</f>
        <v>Certificate cipher suites are documented</v>
      </c>
      <c r="D223" s="1030"/>
      <c r="E223" s="1030"/>
      <c r="F223" s="1030"/>
      <c r="G223" s="1030"/>
      <c r="H223" s="1026" t="str">
        <f>INDEX(tech!$A$140:$A$225,MATCH(B223,tech!$B$140:$B$225,0))</f>
        <v>Optimized</v>
      </c>
      <c r="I223" s="1026"/>
      <c r="J223" s="1027"/>
    </row>
    <row r="224" spans="2:10" ht="22.5" customHeight="1" x14ac:dyDescent="0.25">
      <c r="B224" s="290" t="str">
        <f>tech!B172</f>
        <v>2.2.3.</v>
      </c>
      <c r="C224" s="512" t="str">
        <f>tech!C172</f>
        <v>Certificate lifecycle management is documented</v>
      </c>
      <c r="D224" s="512"/>
      <c r="E224" s="512"/>
      <c r="F224" s="512"/>
      <c r="G224" s="512"/>
      <c r="H224" s="1024" t="str">
        <f>INDEX(tech!$A$140:$A$225,MATCH(B224,tech!$B$140:$B$225,0))</f>
        <v>Basic</v>
      </c>
      <c r="I224" s="1024"/>
      <c r="J224" s="1025"/>
    </row>
    <row r="225" spans="2:10" ht="22.5" customHeight="1" x14ac:dyDescent="0.25">
      <c r="B225" s="300" t="str">
        <f>tech!B173</f>
        <v>2.2.4.</v>
      </c>
      <c r="C225" s="1030" t="str">
        <f>tech!C173</f>
        <v>Inventory of issued certificates is documented</v>
      </c>
      <c r="D225" s="1030"/>
      <c r="E225" s="1030"/>
      <c r="F225" s="1030"/>
      <c r="G225" s="1030"/>
      <c r="H225" s="1026" t="str">
        <f>INDEX(tech!$A$140:$A$225,MATCH(B225,tech!$B$140:$B$225,0))</f>
        <v>Initial</v>
      </c>
      <c r="I225" s="1026"/>
      <c r="J225" s="1027"/>
    </row>
    <row r="226" spans="2:10" ht="22.5" customHeight="1" x14ac:dyDescent="0.25">
      <c r="B226" s="290" t="str">
        <f>tech!B174</f>
        <v>2.2.5.</v>
      </c>
      <c r="C226" s="512" t="str">
        <f>tech!C174</f>
        <v>Certificate discovery process is documented</v>
      </c>
      <c r="D226" s="512"/>
      <c r="E226" s="512"/>
      <c r="F226" s="512"/>
      <c r="G226" s="512"/>
      <c r="H226" s="1024" t="str">
        <f>INDEX(tech!$A$140:$A$225,MATCH(B226,tech!$B$140:$B$225,0))</f>
        <v>Basic</v>
      </c>
      <c r="I226" s="1024"/>
      <c r="J226" s="1025"/>
    </row>
    <row r="227" spans="2:10" ht="22.5" customHeight="1" x14ac:dyDescent="0.25">
      <c r="B227" s="300" t="str">
        <f>tech!B175</f>
        <v>2.2.6.</v>
      </c>
      <c r="C227" s="1030" t="str">
        <f>tech!C175</f>
        <v>Certificate management is periodically reviewed and updated</v>
      </c>
      <c r="D227" s="1030"/>
      <c r="E227" s="1030"/>
      <c r="F227" s="1030"/>
      <c r="G227" s="1030"/>
      <c r="H227" s="1026" t="str">
        <f>INDEX(tech!$A$140:$A$225,MATCH(B227,tech!$B$140:$B$225,0))</f>
        <v>Advanced</v>
      </c>
      <c r="I227" s="1026"/>
      <c r="J227" s="1027"/>
    </row>
    <row r="228" spans="2:10" ht="22.5" customHeight="1" thickBot="1" x14ac:dyDescent="0.3">
      <c r="B228" s="291" t="str">
        <f>tech!B176</f>
        <v>2.2.7.</v>
      </c>
      <c r="C228" s="1032" t="str">
        <f>tech!C176</f>
        <v>Organizational PKI governance</v>
      </c>
      <c r="D228" s="1032"/>
      <c r="E228" s="1032"/>
      <c r="F228" s="1032"/>
      <c r="G228" s="1032"/>
      <c r="H228" s="1028" t="str">
        <f>INDEX(tech!$A$140:$A$225,MATCH(B228,tech!$B$140:$B$225,0))</f>
        <v>Basic</v>
      </c>
      <c r="I228" s="1028"/>
      <c r="J228" s="1029"/>
    </row>
    <row r="229" spans="2:10" ht="30" customHeight="1" x14ac:dyDescent="0.25">
      <c r="B229" s="305" t="str">
        <f>LEFT(Evaluation!C42,4)</f>
        <v>2.3.</v>
      </c>
      <c r="C229" s="1023" t="str">
        <f>_xlfn.TEXTAFTER(Evaluation!C42," ")</f>
        <v>Infrastructure Management</v>
      </c>
      <c r="D229" s="1023"/>
      <c r="E229" s="1023"/>
      <c r="F229" s="1023"/>
      <c r="G229" s="1023"/>
      <c r="H229" s="308"/>
      <c r="I229" s="308"/>
      <c r="J229" s="309"/>
    </row>
    <row r="230" spans="2:10" ht="22.5" customHeight="1" x14ac:dyDescent="0.25">
      <c r="B230" s="290" t="str">
        <f>tech!B177</f>
        <v>2.3.1.</v>
      </c>
      <c r="C230" s="512" t="str">
        <f>tech!C177</f>
        <v>Network and deployment infrastructure is documented</v>
      </c>
      <c r="D230" s="512"/>
      <c r="E230" s="512"/>
      <c r="F230" s="512"/>
      <c r="G230" s="512"/>
      <c r="H230" s="1024" t="str">
        <f>INDEX(tech!$A$140:$A$225,MATCH(B230,tech!$B$140:$B$225,0))</f>
        <v>Managed</v>
      </c>
      <c r="I230" s="1024"/>
      <c r="J230" s="1025"/>
    </row>
    <row r="231" spans="2:10" ht="22.5" customHeight="1" x14ac:dyDescent="0.25">
      <c r="B231" s="300" t="str">
        <f>tech!B178</f>
        <v>2.3.2.</v>
      </c>
      <c r="C231" s="1030" t="str">
        <f>tech!C178</f>
        <v>Separation and segmentation principles are applied</v>
      </c>
      <c r="D231" s="1030"/>
      <c r="E231" s="1030"/>
      <c r="F231" s="1030"/>
      <c r="G231" s="1030"/>
      <c r="H231" s="1026" t="str">
        <f>INDEX(tech!$A$140:$A$225,MATCH(B231,tech!$B$140:$B$225,0))</f>
        <v>Basic</v>
      </c>
      <c r="I231" s="1026"/>
      <c r="J231" s="1027"/>
    </row>
    <row r="232" spans="2:10" ht="30" customHeight="1" x14ac:dyDescent="0.25">
      <c r="B232" s="290" t="str">
        <f>tech!B179</f>
        <v>2.3.3.</v>
      </c>
      <c r="C232" s="512" t="str">
        <f>tech!C179</f>
        <v>Network vulnerability management is implemented and maintained</v>
      </c>
      <c r="D232" s="512"/>
      <c r="E232" s="512"/>
      <c r="F232" s="512"/>
      <c r="G232" s="512"/>
      <c r="H232" s="1024" t="str">
        <f>INDEX(tech!$A$140:$A$225,MATCH(B232,tech!$B$140:$B$225,0))</f>
        <v>Advanced</v>
      </c>
      <c r="I232" s="1024"/>
      <c r="J232" s="1025"/>
    </row>
    <row r="233" spans="2:10" ht="22.5" customHeight="1" x14ac:dyDescent="0.25">
      <c r="B233" s="300" t="str">
        <f>tech!B180</f>
        <v>2.3.4.</v>
      </c>
      <c r="C233" s="1030" t="str">
        <f>tech!C180</f>
        <v>Infrastructure recovery objectives controls</v>
      </c>
      <c r="D233" s="1030"/>
      <c r="E233" s="1030"/>
      <c r="F233" s="1030"/>
      <c r="G233" s="1030"/>
      <c r="H233" s="1026" t="str">
        <f>INDEX(tech!$A$140:$A$225,MATCH(B233,tech!$B$140:$B$225,0))</f>
        <v>Basic</v>
      </c>
      <c r="I233" s="1026"/>
      <c r="J233" s="1027"/>
    </row>
    <row r="234" spans="2:10" ht="22.5" customHeight="1" thickBot="1" x14ac:dyDescent="0.3">
      <c r="B234" s="291" t="str">
        <f>tech!B181</f>
        <v>2.3.5.</v>
      </c>
      <c r="C234" s="1032" t="str">
        <f>tech!C181</f>
        <v>Infrastructure activities are periodically reviewed</v>
      </c>
      <c r="D234" s="1032"/>
      <c r="E234" s="1032"/>
      <c r="F234" s="1032"/>
      <c r="G234" s="1032"/>
      <c r="H234" s="1028" t="str">
        <f>INDEX(tech!$A$140:$A$225,MATCH(B234,tech!$B$140:$B$225,0))</f>
        <v>Managed</v>
      </c>
      <c r="I234" s="1028"/>
      <c r="J234" s="1029"/>
    </row>
    <row r="235" spans="2:10" ht="30" hidden="1" customHeight="1" x14ac:dyDescent="0.25">
      <c r="B235" s="256" t="str">
        <f>tech!B182</f>
        <v>2.3.6.</v>
      </c>
      <c r="C235" s="512" t="str">
        <f>tech!C182</f>
        <v/>
      </c>
      <c r="D235" s="512"/>
      <c r="E235" s="512"/>
      <c r="F235" s="512"/>
      <c r="G235" s="512"/>
      <c r="H235" s="1024" t="str">
        <f>INDEX(tech!$A$140:$A$225,MATCH(B235,tech!$B$140:$B$225,0))</f>
        <v/>
      </c>
      <c r="I235" s="1024"/>
      <c r="J235" s="1024"/>
    </row>
    <row r="236" spans="2:10" ht="30" customHeight="1" x14ac:dyDescent="0.25">
      <c r="B236" s="305" t="str">
        <f>LEFT(Evaluation!C44,4)</f>
        <v>2.4.</v>
      </c>
      <c r="C236" s="1023" t="str">
        <f>_xlfn.TEXTAFTER(Evaluation!C44," ")</f>
        <v>Change Management and Agility</v>
      </c>
      <c r="D236" s="1023"/>
      <c r="E236" s="1023"/>
      <c r="F236" s="1023"/>
      <c r="G236" s="1023"/>
      <c r="H236" s="308"/>
      <c r="I236" s="308"/>
      <c r="J236" s="309"/>
    </row>
    <row r="237" spans="2:10" ht="22.5" customHeight="1" x14ac:dyDescent="0.25">
      <c r="B237" s="290" t="str">
        <f>tech!B183</f>
        <v>2.4.1.</v>
      </c>
      <c r="C237" s="512" t="str">
        <f>tech!C183</f>
        <v>The policy for change management and agility is documented</v>
      </c>
      <c r="D237" s="512"/>
      <c r="E237" s="512"/>
      <c r="F237" s="512"/>
      <c r="G237" s="512"/>
      <c r="H237" s="1024" t="str">
        <f>INDEX(tech!$A$140:$A$225,MATCH(B237,tech!$B$140:$B$225,0))</f>
        <v>Basic</v>
      </c>
      <c r="I237" s="1024"/>
      <c r="J237" s="1025"/>
    </row>
    <row r="238" spans="2:10" ht="22.5" customHeight="1" x14ac:dyDescent="0.25">
      <c r="B238" s="300" t="str">
        <f>tech!B184</f>
        <v>2.4.2.</v>
      </c>
      <c r="C238" s="1030" t="str">
        <f>tech!C184</f>
        <v>Request for change structure is documented and followed</v>
      </c>
      <c r="D238" s="1030"/>
      <c r="E238" s="1030"/>
      <c r="F238" s="1030"/>
      <c r="G238" s="1030"/>
      <c r="H238" s="1026" t="str">
        <f>INDEX(tech!$A$140:$A$225,MATCH(B238,tech!$B$140:$B$225,0))</f>
        <v>Managed</v>
      </c>
      <c r="I238" s="1026"/>
      <c r="J238" s="1027"/>
    </row>
    <row r="239" spans="2:10" ht="30" customHeight="1" x14ac:dyDescent="0.25">
      <c r="B239" s="290" t="str">
        <f>tech!B185</f>
        <v>2.4.3.</v>
      </c>
      <c r="C239" s="512" t="str">
        <f>tech!C185</f>
        <v>The change management process is documented and implemented</v>
      </c>
      <c r="D239" s="512"/>
      <c r="E239" s="512"/>
      <c r="F239" s="512"/>
      <c r="G239" s="512"/>
      <c r="H239" s="1024" t="str">
        <f>INDEX(tech!$A$140:$A$225,MATCH(B239,tech!$B$140:$B$225,0))</f>
        <v>Basic</v>
      </c>
      <c r="I239" s="1024"/>
      <c r="J239" s="1025"/>
    </row>
    <row r="240" spans="2:10" ht="22.5" customHeight="1" x14ac:dyDescent="0.25">
      <c r="B240" s="300" t="str">
        <f>tech!B186</f>
        <v>2.4.4.</v>
      </c>
      <c r="C240" s="1030" t="str">
        <f>tech!C186</f>
        <v>Requirements for agility are identified</v>
      </c>
      <c r="D240" s="1030"/>
      <c r="E240" s="1030"/>
      <c r="F240" s="1030"/>
      <c r="G240" s="1030"/>
      <c r="H240" s="1026" t="str">
        <f>INDEX(tech!$A$140:$A$225,MATCH(B240,tech!$B$140:$B$225,0))</f>
        <v>Advanced</v>
      </c>
      <c r="I240" s="1026"/>
      <c r="J240" s="1027"/>
    </row>
    <row r="241" spans="2:10" ht="22.5" customHeight="1" thickBot="1" x14ac:dyDescent="0.3">
      <c r="B241" s="291" t="str">
        <f>tech!B187</f>
        <v>2.4.5.</v>
      </c>
      <c r="C241" s="1032" t="str">
        <f>tech!C187</f>
        <v>Change management and agility is periodically reviewed</v>
      </c>
      <c r="D241" s="1032"/>
      <c r="E241" s="1032"/>
      <c r="F241" s="1032"/>
      <c r="G241" s="1032"/>
      <c r="H241" s="1028" t="str">
        <f>INDEX(tech!$A$140:$A$225,MATCH(B241,tech!$B$140:$B$225,0))</f>
        <v>Advanced</v>
      </c>
      <c r="I241" s="1028"/>
      <c r="J241" s="1029"/>
    </row>
    <row r="242" spans="2:10" ht="30" hidden="1" customHeight="1" x14ac:dyDescent="0.25">
      <c r="B242" s="256" t="str">
        <f>tech!B188</f>
        <v>2.4.6.</v>
      </c>
      <c r="C242" s="512" t="str">
        <f>tech!C188</f>
        <v/>
      </c>
      <c r="D242" s="512"/>
      <c r="E242" s="512"/>
      <c r="F242" s="512"/>
      <c r="G242" s="512"/>
      <c r="H242" s="1024" t="str">
        <f>INDEX(tech!$A$140:$A$225,MATCH(B242,tech!$B$140:$B$225,0))</f>
        <v/>
      </c>
      <c r="I242" s="1024"/>
      <c r="J242" s="1024"/>
    </row>
    <row r="243" spans="2:10" x14ac:dyDescent="0.25">
      <c r="B243" s="256"/>
      <c r="C243" s="259"/>
      <c r="D243" s="259"/>
      <c r="E243" s="259"/>
      <c r="F243" s="259"/>
      <c r="G243" s="259"/>
      <c r="H243" s="69"/>
      <c r="I243" s="69"/>
      <c r="J243" s="69"/>
    </row>
    <row r="244" spans="2:10" ht="15.75" thickBot="1" x14ac:dyDescent="0.3">
      <c r="B244" s="256"/>
      <c r="C244" s="259"/>
      <c r="D244" s="259"/>
      <c r="E244" s="259"/>
      <c r="F244" s="259"/>
      <c r="G244" s="259"/>
      <c r="H244" s="69"/>
      <c r="I244" s="69"/>
      <c r="J244" s="69"/>
    </row>
    <row r="245" spans="2:10" ht="30" customHeight="1" thickBot="1" x14ac:dyDescent="0.3">
      <c r="B245" s="310" t="str">
        <f>LEFT(Evaluation!C23,2)</f>
        <v>3.</v>
      </c>
      <c r="C245" s="1035" t="str">
        <f>_xlfn.TEXTAFTER(Evaluation!C23," ")</f>
        <v>Operations</v>
      </c>
      <c r="D245" s="1035"/>
      <c r="E245" s="1035"/>
      <c r="F245" s="1035"/>
      <c r="G245" s="1035"/>
      <c r="H245" s="311"/>
      <c r="I245" s="311"/>
      <c r="J245" s="312"/>
    </row>
    <row r="246" spans="2:10" ht="30" customHeight="1" x14ac:dyDescent="0.25">
      <c r="B246" s="313" t="str">
        <f>LEFT(Evaluation!C46,4)</f>
        <v>3.1.</v>
      </c>
      <c r="C246" s="1033" t="str">
        <f>_xlfn.TEXTAFTER(Evaluation!C46," ")</f>
        <v>Resilience</v>
      </c>
      <c r="D246" s="1033"/>
      <c r="E246" s="1033"/>
      <c r="F246" s="1033"/>
      <c r="G246" s="1033"/>
      <c r="H246" s="314"/>
      <c r="I246" s="314"/>
      <c r="J246" s="315"/>
    </row>
    <row r="247" spans="2:10" ht="30" customHeight="1" x14ac:dyDescent="0.25">
      <c r="B247" s="290" t="str">
        <f>tech!B189</f>
        <v>3.1.1.</v>
      </c>
      <c r="C247" s="512" t="str">
        <f>tech!C189</f>
        <v>Risk assessment and business impact analysis</v>
      </c>
      <c r="D247" s="512"/>
      <c r="E247" s="512"/>
      <c r="F247" s="512"/>
      <c r="G247" s="512"/>
      <c r="H247" s="1024" t="str">
        <f>INDEX(tech!$A$140:$A$225,MATCH(B247,tech!$B$140:$B$225,0))</f>
        <v>Optimized</v>
      </c>
      <c r="I247" s="1024"/>
      <c r="J247" s="1025"/>
    </row>
    <row r="248" spans="2:10" ht="30" customHeight="1" x14ac:dyDescent="0.25">
      <c r="B248" s="300" t="str">
        <f>tech!B190</f>
        <v>3.1.2.</v>
      </c>
      <c r="C248" s="1030" t="str">
        <f>tech!C190</f>
        <v>Cyber-security management and incident planning</v>
      </c>
      <c r="D248" s="1030"/>
      <c r="E248" s="1030"/>
      <c r="F248" s="1030"/>
      <c r="G248" s="1030"/>
      <c r="H248" s="1026" t="str">
        <f>INDEX(tech!$A$140:$A$225,MATCH(B248,tech!$B$140:$B$225,0))</f>
        <v>Advanced</v>
      </c>
      <c r="I248" s="1026"/>
      <c r="J248" s="1027"/>
    </row>
    <row r="249" spans="2:10" ht="30" customHeight="1" x14ac:dyDescent="0.25">
      <c r="B249" s="290" t="str">
        <f>tech!B191</f>
        <v>3.1.3.</v>
      </c>
      <c r="C249" s="512" t="str">
        <f>tech!C191</f>
        <v>Business continuity planning and disaster recovery</v>
      </c>
      <c r="D249" s="512"/>
      <c r="E249" s="512"/>
      <c r="F249" s="512"/>
      <c r="G249" s="512"/>
      <c r="H249" s="1024" t="str">
        <f>INDEX(tech!$A$140:$A$225,MATCH(B249,tech!$B$140:$B$225,0))</f>
        <v>Managed</v>
      </c>
      <c r="I249" s="1024"/>
      <c r="J249" s="1025"/>
    </row>
    <row r="250" spans="2:10" ht="30" customHeight="1" x14ac:dyDescent="0.25">
      <c r="B250" s="300" t="str">
        <f>tech!B192</f>
        <v>3.1.4.</v>
      </c>
      <c r="C250" s="1030" t="str">
        <f>tech!C192</f>
        <v>Technology future proofing</v>
      </c>
      <c r="D250" s="1030"/>
      <c r="E250" s="1030"/>
      <c r="F250" s="1030"/>
      <c r="G250" s="1030"/>
      <c r="H250" s="1026" t="str">
        <f>INDEX(tech!$A$140:$A$225,MATCH(B250,tech!$B$140:$B$225,0))</f>
        <v>Managed</v>
      </c>
      <c r="I250" s="1026"/>
      <c r="J250" s="1027"/>
    </row>
    <row r="251" spans="2:10" ht="30" customHeight="1" x14ac:dyDescent="0.25">
      <c r="B251" s="290" t="str">
        <f>tech!B193</f>
        <v>3.1.5.</v>
      </c>
      <c r="C251" s="512" t="str">
        <f>tech!C193</f>
        <v>Competence and information sharing</v>
      </c>
      <c r="D251" s="512"/>
      <c r="E251" s="512"/>
      <c r="F251" s="512"/>
      <c r="G251" s="512"/>
      <c r="H251" s="1024" t="str">
        <f>INDEX(tech!$A$140:$A$225,MATCH(B251,tech!$B$140:$B$225,0))</f>
        <v>Initial</v>
      </c>
      <c r="I251" s="1024"/>
      <c r="J251" s="1025"/>
    </row>
    <row r="252" spans="2:10" ht="30" customHeight="1" thickBot="1" x14ac:dyDescent="0.3">
      <c r="B252" s="301" t="str">
        <f>tech!B194</f>
        <v>3.1.6.</v>
      </c>
      <c r="C252" s="1031" t="str">
        <f>tech!C194</f>
        <v>Continual review and improvement</v>
      </c>
      <c r="D252" s="1031"/>
      <c r="E252" s="1031"/>
      <c r="F252" s="1031"/>
      <c r="G252" s="1031"/>
      <c r="H252" s="1018" t="str">
        <f>INDEX(tech!$A$140:$A$225,MATCH(B252,tech!$B$140:$B$225,0))</f>
        <v>Advanced</v>
      </c>
      <c r="I252" s="1018"/>
      <c r="J252" s="1019"/>
    </row>
    <row r="253" spans="2:10" ht="30" customHeight="1" x14ac:dyDescent="0.25">
      <c r="B253" s="313" t="str">
        <f>LEFT(Evaluation!C48,4)</f>
        <v>3.2.</v>
      </c>
      <c r="C253" s="1033" t="str">
        <f>_xlfn.TEXTAFTER(Evaluation!C48," ")</f>
        <v>Interoperability</v>
      </c>
      <c r="D253" s="1033"/>
      <c r="E253" s="1033"/>
      <c r="F253" s="1033"/>
      <c r="G253" s="1033"/>
      <c r="H253" s="316"/>
      <c r="I253" s="316"/>
      <c r="J253" s="317"/>
    </row>
    <row r="254" spans="2:10" ht="30" customHeight="1" x14ac:dyDescent="0.25">
      <c r="B254" s="290" t="str">
        <f>tech!B195</f>
        <v>3.2.1.</v>
      </c>
      <c r="C254" s="512" t="str">
        <f>tech!C195</f>
        <v>Maintain PKI interoperability strategy</v>
      </c>
      <c r="D254" s="512"/>
      <c r="E254" s="512"/>
      <c r="F254" s="512"/>
      <c r="G254" s="512"/>
      <c r="H254" s="1024" t="str">
        <f>INDEX(tech!$A$140:$A$225,MATCH(B254,tech!$B$140:$B$225,0))</f>
        <v>Advanced</v>
      </c>
      <c r="I254" s="1024"/>
      <c r="J254" s="1025"/>
    </row>
    <row r="255" spans="2:10" ht="30" customHeight="1" x14ac:dyDescent="0.25">
      <c r="B255" s="300" t="str">
        <f>tech!B196</f>
        <v>3.2.2.</v>
      </c>
      <c r="C255" s="1030" t="str">
        <f>tech!C196</f>
        <v>Documented integration guidance</v>
      </c>
      <c r="D255" s="1030"/>
      <c r="E255" s="1030"/>
      <c r="F255" s="1030"/>
      <c r="G255" s="1030"/>
      <c r="H255" s="1026" t="str">
        <f>INDEX(tech!$A$140:$A$225,MATCH(B255,tech!$B$140:$B$225,0))</f>
        <v>Advanced</v>
      </c>
      <c r="I255" s="1026"/>
      <c r="J255" s="1027"/>
    </row>
    <row r="256" spans="2:10" ht="30" customHeight="1" thickBot="1" x14ac:dyDescent="0.3">
      <c r="B256" s="291" t="str">
        <f>tech!B197</f>
        <v>3.2.3.</v>
      </c>
      <c r="C256" s="1032" t="str">
        <f>tech!C197</f>
        <v>Adoption and application of open standards</v>
      </c>
      <c r="D256" s="1032"/>
      <c r="E256" s="1032"/>
      <c r="F256" s="1032"/>
      <c r="G256" s="1032"/>
      <c r="H256" s="1028" t="str">
        <f>INDEX(tech!$A$140:$A$225,MATCH(B256,tech!$B$140:$B$225,0))</f>
        <v>Managed</v>
      </c>
      <c r="I256" s="1028"/>
      <c r="J256" s="1029"/>
    </row>
    <row r="257" spans="2:10" ht="30" hidden="1" customHeight="1" x14ac:dyDescent="0.25">
      <c r="B257" s="256" t="str">
        <f>tech!B198</f>
        <v>3.2.4.</v>
      </c>
      <c r="C257" s="512" t="str">
        <f>tech!C198</f>
        <v/>
      </c>
      <c r="D257" s="512"/>
      <c r="E257" s="512"/>
      <c r="F257" s="512"/>
      <c r="G257" s="512"/>
      <c r="H257" s="1024" t="str">
        <f>INDEX(tech!$A$140:$A$225,MATCH(B257,tech!$B$140:$B$225,0))</f>
        <v/>
      </c>
      <c r="I257" s="1024"/>
      <c r="J257" s="1024"/>
    </row>
    <row r="258" spans="2:10" ht="30" hidden="1" customHeight="1" x14ac:dyDescent="0.25">
      <c r="B258" s="256" t="str">
        <f>tech!B199</f>
        <v>3.2.5.</v>
      </c>
      <c r="C258" s="512" t="str">
        <f>tech!C199</f>
        <v/>
      </c>
      <c r="D258" s="512"/>
      <c r="E258" s="512"/>
      <c r="F258" s="512"/>
      <c r="G258" s="512"/>
      <c r="H258" s="1024" t="str">
        <f>INDEX(tech!$A$140:$A$225,MATCH(B258,tech!$B$140:$B$225,0))</f>
        <v/>
      </c>
      <c r="I258" s="1024"/>
      <c r="J258" s="1024"/>
    </row>
    <row r="259" spans="2:10" ht="30" hidden="1" customHeight="1" x14ac:dyDescent="0.25">
      <c r="B259" s="256" t="str">
        <f>tech!B200</f>
        <v>3.2.6.</v>
      </c>
      <c r="C259" s="512" t="str">
        <f>tech!C200</f>
        <v/>
      </c>
      <c r="D259" s="512"/>
      <c r="E259" s="512"/>
      <c r="F259" s="512"/>
      <c r="G259" s="512"/>
      <c r="H259" s="1024" t="str">
        <f>INDEX(tech!$A$140:$A$225,MATCH(B259,tech!$B$140:$B$225,0))</f>
        <v/>
      </c>
      <c r="I259" s="1024"/>
      <c r="J259" s="1024"/>
    </row>
    <row r="260" spans="2:10" ht="30" customHeight="1" x14ac:dyDescent="0.25">
      <c r="B260" s="313" t="str">
        <f>LEFT(Evaluation!C50,4)</f>
        <v>3.3.</v>
      </c>
      <c r="C260" s="1033" t="str">
        <f>_xlfn.TEXTAFTER(Evaluation!C50," ")</f>
        <v>Monitoring and Auditing</v>
      </c>
      <c r="D260" s="1033"/>
      <c r="E260" s="1033"/>
      <c r="F260" s="1033"/>
      <c r="G260" s="1033"/>
      <c r="H260" s="316"/>
      <c r="I260" s="316"/>
      <c r="J260" s="317"/>
    </row>
    <row r="261" spans="2:10" ht="30" customHeight="1" x14ac:dyDescent="0.25">
      <c r="B261" s="290" t="str">
        <f>tech!B201</f>
        <v>3.3.1.</v>
      </c>
      <c r="C261" s="512" t="str">
        <f>tech!C201</f>
        <v>Monitoring events and logging requirements are defined and documented</v>
      </c>
      <c r="D261" s="512"/>
      <c r="E261" s="512"/>
      <c r="F261" s="512"/>
      <c r="G261" s="512"/>
      <c r="H261" s="1024" t="str">
        <f>INDEX(tech!$A$140:$A$225,MATCH(B261,tech!$B$140:$B$225,0))</f>
        <v>Advanced</v>
      </c>
      <c r="I261" s="1024"/>
      <c r="J261" s="1025"/>
    </row>
    <row r="262" spans="2:10" ht="30" customHeight="1" x14ac:dyDescent="0.25">
      <c r="B262" s="300" t="str">
        <f>tech!B202</f>
        <v>3.3.2.</v>
      </c>
      <c r="C262" s="1030" t="str">
        <f>tech!C202</f>
        <v>Event logs from systems are collected</v>
      </c>
      <c r="D262" s="1030"/>
      <c r="E262" s="1030"/>
      <c r="F262" s="1030"/>
      <c r="G262" s="1030"/>
      <c r="H262" s="1026" t="str">
        <f>INDEX(tech!$A$140:$A$225,MATCH(B262,tech!$B$140:$B$225,0))</f>
        <v>Advanced</v>
      </c>
      <c r="I262" s="1026"/>
      <c r="J262" s="1027"/>
    </row>
    <row r="263" spans="2:10" ht="30" customHeight="1" x14ac:dyDescent="0.25">
      <c r="B263" s="290" t="str">
        <f>tech!B203</f>
        <v>3.3.3.</v>
      </c>
      <c r="C263" s="512" t="str">
        <f>tech!C203</f>
        <v>Audit trail can be reconstructed from audit logs</v>
      </c>
      <c r="D263" s="512"/>
      <c r="E263" s="512"/>
      <c r="F263" s="512"/>
      <c r="G263" s="512"/>
      <c r="H263" s="1024" t="str">
        <f>INDEX(tech!$A$140:$A$225,MATCH(B263,tech!$B$140:$B$225,0))</f>
        <v>Advanced</v>
      </c>
      <c r="I263" s="1024"/>
      <c r="J263" s="1025"/>
    </row>
    <row r="264" spans="2:10" ht="30" customHeight="1" x14ac:dyDescent="0.25">
      <c r="B264" s="300" t="str">
        <f>tech!B204</f>
        <v>3.3.4.</v>
      </c>
      <c r="C264" s="1030" t="str">
        <f>tech!C204</f>
        <v>Monitoring of operational and security events is implemented</v>
      </c>
      <c r="D264" s="1030"/>
      <c r="E264" s="1030"/>
      <c r="F264" s="1030"/>
      <c r="G264" s="1030"/>
      <c r="H264" s="1026" t="str">
        <f>INDEX(tech!$A$140:$A$225,MATCH(B264,tech!$B$140:$B$225,0))</f>
        <v>Advanced</v>
      </c>
      <c r="I264" s="1026"/>
      <c r="J264" s="1027"/>
    </row>
    <row r="265" spans="2:10" ht="30" customHeight="1" x14ac:dyDescent="0.25">
      <c r="B265" s="290" t="str">
        <f>tech!B205</f>
        <v>3.3.5.</v>
      </c>
      <c r="C265" s="512" t="str">
        <f>tech!C205</f>
        <v>Critical events are immediately alerted and resolved according to incident response plans</v>
      </c>
      <c r="D265" s="512"/>
      <c r="E265" s="512"/>
      <c r="F265" s="512"/>
      <c r="G265" s="512"/>
      <c r="H265" s="1024" t="str">
        <f>INDEX(tech!$A$140:$A$225,MATCH(B265,tech!$B$140:$B$225,0))</f>
        <v>Advanced</v>
      </c>
      <c r="I265" s="1024"/>
      <c r="J265" s="1025"/>
    </row>
    <row r="266" spans="2:10" ht="30" customHeight="1" thickBot="1" x14ac:dyDescent="0.3">
      <c r="B266" s="301" t="str">
        <f>tech!B206</f>
        <v>3.3.6.</v>
      </c>
      <c r="C266" s="1031" t="str">
        <f>tech!C206</f>
        <v>Review of events and logs is periodically performed</v>
      </c>
      <c r="D266" s="1031"/>
      <c r="E266" s="1031"/>
      <c r="F266" s="1031"/>
      <c r="G266" s="1031"/>
      <c r="H266" s="1018" t="str">
        <f>INDEX(tech!$A$140:$A$225,MATCH(B266,tech!$B$140:$B$225,0))</f>
        <v>Advanced</v>
      </c>
      <c r="I266" s="1018"/>
      <c r="J266" s="1019"/>
    </row>
    <row r="267" spans="2:10" ht="30" customHeight="1" x14ac:dyDescent="0.25">
      <c r="B267" s="313" t="str">
        <f>LEFT(Evaluation!C52,4)</f>
        <v>3.4.</v>
      </c>
      <c r="C267" s="1033" t="str">
        <f>_xlfn.TEXTAFTER(Evaluation!C52," ")</f>
        <v>Automation</v>
      </c>
      <c r="D267" s="1033"/>
      <c r="E267" s="1033"/>
      <c r="F267" s="1033"/>
      <c r="G267" s="1033"/>
      <c r="H267" s="316"/>
      <c r="I267" s="316"/>
      <c r="J267" s="317"/>
    </row>
    <row r="268" spans="2:10" ht="30" customHeight="1" x14ac:dyDescent="0.25">
      <c r="B268" s="290" t="str">
        <f>tech!B207</f>
        <v>3.4.1.</v>
      </c>
      <c r="C268" s="512" t="str">
        <f>tech!C207</f>
        <v>Process automation description</v>
      </c>
      <c r="D268" s="512"/>
      <c r="E268" s="512"/>
      <c r="F268" s="512"/>
      <c r="G268" s="512"/>
      <c r="H268" s="1024" t="str">
        <f>INDEX(tech!$A$140:$A$225,MATCH(B268,tech!$B$140:$B$225,0))</f>
        <v>Basic</v>
      </c>
      <c r="I268" s="1024"/>
      <c r="J268" s="1025"/>
    </row>
    <row r="269" spans="2:10" ht="30" customHeight="1" x14ac:dyDescent="0.25">
      <c r="B269" s="300" t="str">
        <f>tech!B208</f>
        <v>3.4.2.</v>
      </c>
      <c r="C269" s="1030" t="str">
        <f>tech!C208</f>
        <v>Monitoring and auditing of automated process</v>
      </c>
      <c r="D269" s="1030"/>
      <c r="E269" s="1030"/>
      <c r="F269" s="1030"/>
      <c r="G269" s="1030"/>
      <c r="H269" s="1026" t="str">
        <f>INDEX(tech!$A$140:$A$225,MATCH(B269,tech!$B$140:$B$225,0))</f>
        <v>Managed</v>
      </c>
      <c r="I269" s="1026"/>
      <c r="J269" s="1027"/>
    </row>
    <row r="270" spans="2:10" ht="30" customHeight="1" thickBot="1" x14ac:dyDescent="0.3">
      <c r="B270" s="291" t="str">
        <f>tech!B209</f>
        <v>3.4.3.</v>
      </c>
      <c r="C270" s="1032" t="str">
        <f>tech!C209</f>
        <v>Incidents and exceptions handling</v>
      </c>
      <c r="D270" s="1032"/>
      <c r="E270" s="1032"/>
      <c r="F270" s="1032"/>
      <c r="G270" s="1032"/>
      <c r="H270" s="1028" t="str">
        <f>INDEX(tech!$A$140:$A$225,MATCH(B270,tech!$B$140:$B$225,0))</f>
        <v>Basic</v>
      </c>
      <c r="I270" s="1028"/>
      <c r="J270" s="1029"/>
    </row>
    <row r="271" spans="2:10" ht="30" hidden="1" customHeight="1" x14ac:dyDescent="0.25">
      <c r="B271" s="256" t="str">
        <f>tech!B210</f>
        <v>3.4.4.</v>
      </c>
      <c r="C271" s="512" t="str">
        <f>tech!C210</f>
        <v/>
      </c>
      <c r="D271" s="512"/>
      <c r="E271" s="512"/>
      <c r="F271" s="512"/>
      <c r="G271" s="512"/>
      <c r="H271" s="1024" t="str">
        <f>INDEX(tech!$A$140:$A$225,MATCH(B271,tech!$B$140:$B$225,0))</f>
        <v/>
      </c>
      <c r="I271" s="1024"/>
      <c r="J271" s="1024"/>
    </row>
    <row r="272" spans="2:10" ht="30" hidden="1" customHeight="1" x14ac:dyDescent="0.25">
      <c r="B272" s="256" t="str">
        <f>tech!B211</f>
        <v>3.4.5.</v>
      </c>
      <c r="C272" s="512" t="str">
        <f>tech!C211</f>
        <v/>
      </c>
      <c r="D272" s="512"/>
      <c r="E272" s="512"/>
      <c r="F272" s="512"/>
      <c r="G272" s="512"/>
      <c r="H272" s="1024" t="str">
        <f>INDEX(tech!$A$140:$A$225,MATCH(B272,tech!$B$140:$B$225,0))</f>
        <v/>
      </c>
      <c r="I272" s="1024"/>
      <c r="J272" s="1024"/>
    </row>
    <row r="273" spans="2:10" ht="30" hidden="1" customHeight="1" x14ac:dyDescent="0.25">
      <c r="B273" s="256" t="str">
        <f>tech!B212</f>
        <v>3.4.6.</v>
      </c>
      <c r="C273" s="512" t="str">
        <f>tech!C212</f>
        <v/>
      </c>
      <c r="D273" s="512"/>
      <c r="E273" s="512"/>
      <c r="F273" s="512"/>
      <c r="G273" s="512"/>
      <c r="H273" s="1024" t="str">
        <f>INDEX(tech!$A$140:$A$225,MATCH(B273,tech!$B$140:$B$225,0))</f>
        <v/>
      </c>
      <c r="I273" s="1024"/>
      <c r="J273" s="1024"/>
    </row>
    <row r="274" spans="2:10" x14ac:dyDescent="0.25">
      <c r="B274" s="256"/>
      <c r="C274" s="259"/>
      <c r="D274" s="259"/>
      <c r="E274" s="259"/>
      <c r="F274" s="259"/>
      <c r="G274" s="259"/>
      <c r="H274" s="69"/>
      <c r="I274" s="69"/>
      <c r="J274" s="69"/>
    </row>
    <row r="275" spans="2:10" x14ac:dyDescent="0.25">
      <c r="B275" s="256"/>
      <c r="C275" s="259"/>
      <c r="D275" s="259"/>
      <c r="E275" s="259"/>
      <c r="F275" s="259"/>
      <c r="G275" s="259"/>
      <c r="H275" s="69"/>
      <c r="I275" s="69"/>
      <c r="J275" s="69"/>
    </row>
    <row r="276" spans="2:10" x14ac:dyDescent="0.25">
      <c r="B276" s="256"/>
      <c r="C276" s="259"/>
      <c r="D276" s="259"/>
      <c r="E276" s="259"/>
      <c r="F276" s="259"/>
      <c r="G276" s="259"/>
      <c r="H276" s="69"/>
      <c r="I276" s="69"/>
      <c r="J276" s="69"/>
    </row>
    <row r="277" spans="2:10" ht="15.75" thickBot="1" x14ac:dyDescent="0.3">
      <c r="B277" s="256"/>
      <c r="C277" s="259"/>
      <c r="D277" s="259"/>
      <c r="E277" s="259"/>
      <c r="F277" s="259"/>
      <c r="G277" s="259"/>
      <c r="H277" s="69"/>
      <c r="I277" s="69"/>
      <c r="J277" s="69"/>
    </row>
    <row r="278" spans="2:10" ht="30" customHeight="1" thickBot="1" x14ac:dyDescent="0.3">
      <c r="B278" s="318" t="str">
        <f>LEFT(Evaluation!C25,2)</f>
        <v>4.</v>
      </c>
      <c r="C278" s="1036" t="str">
        <f>_xlfn.TEXTAFTER(Evaluation!C25," ")</f>
        <v>Resources</v>
      </c>
      <c r="D278" s="1036"/>
      <c r="E278" s="1036"/>
      <c r="F278" s="1036"/>
      <c r="G278" s="1036"/>
      <c r="H278" s="319"/>
      <c r="I278" s="319"/>
      <c r="J278" s="320"/>
    </row>
    <row r="279" spans="2:10" ht="30" customHeight="1" x14ac:dyDescent="0.25">
      <c r="B279" s="321" t="str">
        <f>LEFT(Evaluation!C54,4)</f>
        <v>4.1.</v>
      </c>
      <c r="C279" s="1034" t="str">
        <f>_xlfn.TEXTAFTER(Evaluation!C54," ")</f>
        <v>Sourcing</v>
      </c>
      <c r="D279" s="1034"/>
      <c r="E279" s="1034"/>
      <c r="F279" s="1034"/>
      <c r="G279" s="1034"/>
      <c r="H279" s="322"/>
      <c r="I279" s="322"/>
      <c r="J279" s="323"/>
    </row>
    <row r="280" spans="2:10" ht="30" customHeight="1" x14ac:dyDescent="0.25">
      <c r="B280" s="290" t="str">
        <f>tech!B213</f>
        <v>4.1.1.</v>
      </c>
      <c r="C280" s="512" t="str">
        <f>tech!C213</f>
        <v>Resources are identified and documented</v>
      </c>
      <c r="D280" s="512"/>
      <c r="E280" s="512"/>
      <c r="F280" s="512"/>
      <c r="G280" s="512"/>
      <c r="H280" s="1024" t="str">
        <f>INDEX(tech!$A$140:$A$225,MATCH(B280,tech!$B$140:$B$225,0))</f>
        <v>Initial</v>
      </c>
      <c r="I280" s="1024"/>
      <c r="J280" s="1025"/>
    </row>
    <row r="281" spans="2:10" ht="30" customHeight="1" x14ac:dyDescent="0.25">
      <c r="B281" s="300" t="str">
        <f>tech!B214</f>
        <v>4.1.2.</v>
      </c>
      <c r="C281" s="1030" t="str">
        <f>tech!C214</f>
        <v>Resources are clearly defined</v>
      </c>
      <c r="D281" s="1030"/>
      <c r="E281" s="1030"/>
      <c r="F281" s="1030"/>
      <c r="G281" s="1030"/>
      <c r="H281" s="1026" t="str">
        <f>INDEX(tech!$A$140:$A$225,MATCH(B281,tech!$B$140:$B$225,0))</f>
        <v>Optimized</v>
      </c>
      <c r="I281" s="1026"/>
      <c r="J281" s="1027"/>
    </row>
    <row r="282" spans="2:10" ht="30" customHeight="1" x14ac:dyDescent="0.25">
      <c r="B282" s="290" t="str">
        <f>tech!B215</f>
        <v>4.1.3.</v>
      </c>
      <c r="C282" s="512" t="str">
        <f>tech!C215</f>
        <v>Availability of resources</v>
      </c>
      <c r="D282" s="512"/>
      <c r="E282" s="512"/>
      <c r="F282" s="512"/>
      <c r="G282" s="512"/>
      <c r="H282" s="1024" t="str">
        <f>INDEX(tech!$A$140:$A$225,MATCH(B282,tech!$B$140:$B$225,0))</f>
        <v>Optimized</v>
      </c>
      <c r="I282" s="1024"/>
      <c r="J282" s="1025"/>
    </row>
    <row r="283" spans="2:10" ht="30" customHeight="1" thickBot="1" x14ac:dyDescent="0.3">
      <c r="B283" s="301" t="str">
        <f>tech!B216</f>
        <v>4.1.4.</v>
      </c>
      <c r="C283" s="1031" t="str">
        <f>tech!C216</f>
        <v>Resources are periodically reviewed</v>
      </c>
      <c r="D283" s="1031"/>
      <c r="E283" s="1031"/>
      <c r="F283" s="1031"/>
      <c r="G283" s="1031"/>
      <c r="H283" s="1018" t="str">
        <f>INDEX(tech!$A$140:$A$225,MATCH(B283,tech!$B$140:$B$225,0))</f>
        <v>Optimized</v>
      </c>
      <c r="I283" s="1018"/>
      <c r="J283" s="1019"/>
    </row>
    <row r="284" spans="2:10" ht="30" customHeight="1" x14ac:dyDescent="0.25">
      <c r="B284" s="321" t="str">
        <f>LEFT(Evaluation!C56,4)</f>
        <v>4.2.</v>
      </c>
      <c r="C284" s="1034" t="str">
        <f>_xlfn.TEXTAFTER(Evaluation!C56," ")</f>
        <v>Knowledge and Training</v>
      </c>
      <c r="D284" s="1034"/>
      <c r="E284" s="1034"/>
      <c r="F284" s="1034"/>
      <c r="G284" s="1034"/>
      <c r="H284" s="324"/>
      <c r="I284" s="324"/>
      <c r="J284" s="325"/>
    </row>
    <row r="285" spans="2:10" ht="30" customHeight="1" x14ac:dyDescent="0.25">
      <c r="B285" s="290" t="str">
        <f>tech!B217</f>
        <v>4.2.1.</v>
      </c>
      <c r="C285" s="512" t="str">
        <f>tech!C217</f>
        <v>Establish training plan</v>
      </c>
      <c r="D285" s="512"/>
      <c r="E285" s="512"/>
      <c r="F285" s="512"/>
      <c r="G285" s="512"/>
      <c r="H285" s="1024" t="str">
        <f>INDEX(tech!$A$140:$A$225,MATCH(B285,tech!$B$140:$B$225,0))</f>
        <v>Managed</v>
      </c>
      <c r="I285" s="1024"/>
      <c r="J285" s="1025"/>
    </row>
    <row r="286" spans="2:10" ht="30" customHeight="1" x14ac:dyDescent="0.25">
      <c r="B286" s="300" t="str">
        <f>tech!B218</f>
        <v>4.2.2.</v>
      </c>
      <c r="C286" s="1030" t="str">
        <f>tech!C218</f>
        <v>Responsible personnel receive training</v>
      </c>
      <c r="D286" s="1030"/>
      <c r="E286" s="1030"/>
      <c r="F286" s="1030"/>
      <c r="G286" s="1030"/>
      <c r="H286" s="1026" t="str">
        <f>INDEX(tech!$A$140:$A$225,MATCH(B286,tech!$B$140:$B$225,0))</f>
        <v>Managed</v>
      </c>
      <c r="I286" s="1026"/>
      <c r="J286" s="1027"/>
    </row>
    <row r="287" spans="2:10" ht="30" customHeight="1" x14ac:dyDescent="0.25">
      <c r="B287" s="290" t="str">
        <f>tech!B219</f>
        <v>4.2.3.</v>
      </c>
      <c r="C287" s="512" t="str">
        <f>tech!C219</f>
        <v>Perform security awareness training</v>
      </c>
      <c r="D287" s="512"/>
      <c r="E287" s="512"/>
      <c r="F287" s="512"/>
      <c r="G287" s="512"/>
      <c r="H287" s="1024" t="str">
        <f>INDEX(tech!$A$140:$A$225,MATCH(B287,tech!$B$140:$B$225,0))</f>
        <v>Optimized</v>
      </c>
      <c r="I287" s="1024"/>
      <c r="J287" s="1025"/>
    </row>
    <row r="288" spans="2:10" ht="30" customHeight="1" x14ac:dyDescent="0.25">
      <c r="B288" s="300" t="str">
        <f>tech!B220</f>
        <v>4.2.4.</v>
      </c>
      <c r="C288" s="1030" t="str">
        <f>tech!C220</f>
        <v>Establish education plan</v>
      </c>
      <c r="D288" s="1030"/>
      <c r="E288" s="1030"/>
      <c r="F288" s="1030"/>
      <c r="G288" s="1030"/>
      <c r="H288" s="1026" t="str">
        <f>INDEX(tech!$A$140:$A$225,MATCH(B288,tech!$B$140:$B$225,0))</f>
        <v>Managed</v>
      </c>
      <c r="I288" s="1026"/>
      <c r="J288" s="1027"/>
    </row>
    <row r="289" spans="2:10" ht="30" customHeight="1" thickBot="1" x14ac:dyDescent="0.3">
      <c r="B289" s="291" t="str">
        <f>tech!B221</f>
        <v>4.2.5.</v>
      </c>
      <c r="C289" s="1032" t="str">
        <f>tech!C221</f>
        <v>Periodically review knowledge</v>
      </c>
      <c r="D289" s="1032"/>
      <c r="E289" s="1032"/>
      <c r="F289" s="1032"/>
      <c r="G289" s="1032"/>
      <c r="H289" s="1028" t="str">
        <f>INDEX(tech!$A$140:$A$225,MATCH(B289,tech!$B$140:$B$225,0))</f>
        <v>Managed</v>
      </c>
      <c r="I289" s="1028"/>
      <c r="J289" s="1029"/>
    </row>
    <row r="290" spans="2:10" ht="30" customHeight="1" x14ac:dyDescent="0.25">
      <c r="B290" s="321" t="str">
        <f>LEFT(Evaluation!C58,4)</f>
        <v>4.3.</v>
      </c>
      <c r="C290" s="1034" t="str">
        <f>_xlfn.TEXTAFTER(Evaluation!C58," ")</f>
        <v>Awareness</v>
      </c>
      <c r="D290" s="1034"/>
      <c r="E290" s="1034"/>
      <c r="F290" s="1034"/>
      <c r="G290" s="1034"/>
      <c r="H290" s="324"/>
      <c r="I290" s="324"/>
      <c r="J290" s="325"/>
    </row>
    <row r="291" spans="2:10" ht="30" customHeight="1" x14ac:dyDescent="0.25">
      <c r="B291" s="290" t="str">
        <f>tech!B222</f>
        <v>4.3.1.</v>
      </c>
      <c r="C291" s="512" t="str">
        <f>tech!C222</f>
        <v>Establish and maintain awareness plan</v>
      </c>
      <c r="D291" s="512"/>
      <c r="E291" s="512"/>
      <c r="F291" s="512"/>
      <c r="G291" s="512"/>
      <c r="H291" s="1024" t="str">
        <f>INDEX(tech!$A$140:$A$225,MATCH(B291,tech!$B$140:$B$225,0))</f>
        <v>Basic</v>
      </c>
      <c r="I291" s="1024"/>
      <c r="J291" s="1025"/>
    </row>
    <row r="292" spans="2:10" ht="30" customHeight="1" x14ac:dyDescent="0.25">
      <c r="B292" s="300" t="str">
        <f>tech!B223</f>
        <v>4.3.2.</v>
      </c>
      <c r="C292" s="1030" t="str">
        <f>tech!C223</f>
        <v>Disclose PKI information</v>
      </c>
      <c r="D292" s="1030"/>
      <c r="E292" s="1030"/>
      <c r="F292" s="1030"/>
      <c r="G292" s="1030"/>
      <c r="H292" s="1026" t="str">
        <f>INDEX(tech!$A$140:$A$225,MATCH(B292,tech!$B$140:$B$225,0))</f>
        <v>Managed</v>
      </c>
      <c r="I292" s="1026"/>
      <c r="J292" s="1027"/>
    </row>
    <row r="293" spans="2:10" ht="30" customHeight="1" x14ac:dyDescent="0.25">
      <c r="B293" s="290" t="str">
        <f>tech!B224</f>
        <v>4.3.3.</v>
      </c>
      <c r="C293" s="512" t="str">
        <f>tech!C224</f>
        <v>Establish single point of contact</v>
      </c>
      <c r="D293" s="512"/>
      <c r="E293" s="512"/>
      <c r="F293" s="512"/>
      <c r="G293" s="512"/>
      <c r="H293" s="1024" t="str">
        <f>INDEX(tech!$A$140:$A$225,MATCH(B293,tech!$B$140:$B$225,0))</f>
        <v>Managed</v>
      </c>
      <c r="I293" s="1024"/>
      <c r="J293" s="1025"/>
    </row>
    <row r="294" spans="2:10" ht="30" customHeight="1" thickBot="1" x14ac:dyDescent="0.3">
      <c r="B294" s="301" t="str">
        <f>tech!B225</f>
        <v>4.3.4.</v>
      </c>
      <c r="C294" s="1031" t="str">
        <f>tech!C225</f>
        <v>Timely communication of important information</v>
      </c>
      <c r="D294" s="1031"/>
      <c r="E294" s="1031"/>
      <c r="F294" s="1031"/>
      <c r="G294" s="1031"/>
      <c r="H294" s="1018" t="str">
        <f>INDEX(tech!$A$140:$A$225,MATCH(B294,tech!$B$140:$B$225,0))</f>
        <v>Advanced</v>
      </c>
      <c r="I294" s="1018"/>
      <c r="J294" s="1019"/>
    </row>
  </sheetData>
  <sheetProtection sheet="1" objects="1" scenarios="1"/>
  <mergeCells count="294">
    <mergeCell ref="B12:C12"/>
    <mergeCell ref="D12:E12"/>
    <mergeCell ref="F12:G12"/>
    <mergeCell ref="H12:J12"/>
    <mergeCell ref="B13:C13"/>
    <mergeCell ref="D13:E13"/>
    <mergeCell ref="F13:G13"/>
    <mergeCell ref="H13:J13"/>
    <mergeCell ref="B1:J4"/>
    <mergeCell ref="B5:J7"/>
    <mergeCell ref="B9:J9"/>
    <mergeCell ref="B10:E10"/>
    <mergeCell ref="F10:J10"/>
    <mergeCell ref="B11:C11"/>
    <mergeCell ref="D11:E11"/>
    <mergeCell ref="F11:G11"/>
    <mergeCell ref="H11:J11"/>
    <mergeCell ref="B21:C21"/>
    <mergeCell ref="D21:J21"/>
    <mergeCell ref="B22:C22"/>
    <mergeCell ref="D22:J22"/>
    <mergeCell ref="B36:J36"/>
    <mergeCell ref="B37:E37"/>
    <mergeCell ref="B16:J16"/>
    <mergeCell ref="B18:C18"/>
    <mergeCell ref="D18:J18"/>
    <mergeCell ref="B19:C19"/>
    <mergeCell ref="D19:H19"/>
    <mergeCell ref="B20:C20"/>
    <mergeCell ref="D20:J20"/>
    <mergeCell ref="B54:F54"/>
    <mergeCell ref="B55:J55"/>
    <mergeCell ref="B57:G57"/>
    <mergeCell ref="B58:J58"/>
    <mergeCell ref="B71:J71"/>
    <mergeCell ref="F73:G73"/>
    <mergeCell ref="B38:J38"/>
    <mergeCell ref="B40:F40"/>
    <mergeCell ref="B41:J41"/>
    <mergeCell ref="B43:E43"/>
    <mergeCell ref="B44:J44"/>
    <mergeCell ref="B52:J52"/>
    <mergeCell ref="B79:E79"/>
    <mergeCell ref="F79:G79"/>
    <mergeCell ref="F80:G80"/>
    <mergeCell ref="B81:E81"/>
    <mergeCell ref="F81:G81"/>
    <mergeCell ref="F82:G82"/>
    <mergeCell ref="B74:D74"/>
    <mergeCell ref="F74:G74"/>
    <mergeCell ref="B75:D75"/>
    <mergeCell ref="B77:E77"/>
    <mergeCell ref="F77:G77"/>
    <mergeCell ref="F78:G78"/>
    <mergeCell ref="B89:E89"/>
    <mergeCell ref="F89:G89"/>
    <mergeCell ref="F90:G90"/>
    <mergeCell ref="B91:E91"/>
    <mergeCell ref="F91:G91"/>
    <mergeCell ref="F92:G92"/>
    <mergeCell ref="B83:E83"/>
    <mergeCell ref="F83:G83"/>
    <mergeCell ref="B85:D85"/>
    <mergeCell ref="B87:E87"/>
    <mergeCell ref="F87:G87"/>
    <mergeCell ref="F88:G88"/>
    <mergeCell ref="B97:E97"/>
    <mergeCell ref="F97:G97"/>
    <mergeCell ref="F98:G98"/>
    <mergeCell ref="B99:E99"/>
    <mergeCell ref="F99:G99"/>
    <mergeCell ref="F100:G100"/>
    <mergeCell ref="B93:E93"/>
    <mergeCell ref="F93:G93"/>
    <mergeCell ref="F94:G94"/>
    <mergeCell ref="B95:E95"/>
    <mergeCell ref="F95:G95"/>
    <mergeCell ref="F96:G96"/>
    <mergeCell ref="B105:E105"/>
    <mergeCell ref="F105:G105"/>
    <mergeCell ref="F106:G106"/>
    <mergeCell ref="B107:E107"/>
    <mergeCell ref="F107:G107"/>
    <mergeCell ref="F108:G108"/>
    <mergeCell ref="B101:E101"/>
    <mergeCell ref="F101:G101"/>
    <mergeCell ref="F102:G102"/>
    <mergeCell ref="B103:E103"/>
    <mergeCell ref="F103:G103"/>
    <mergeCell ref="F104:G104"/>
    <mergeCell ref="B180:J180"/>
    <mergeCell ref="C184:G184"/>
    <mergeCell ref="C185:G185"/>
    <mergeCell ref="C186:G186"/>
    <mergeCell ref="C187:G187"/>
    <mergeCell ref="C188:G188"/>
    <mergeCell ref="H184:J184"/>
    <mergeCell ref="H185:J185"/>
    <mergeCell ref="H186:J186"/>
    <mergeCell ref="H187:J187"/>
    <mergeCell ref="H188:J188"/>
    <mergeCell ref="B113:E113"/>
    <mergeCell ref="F113:G113"/>
    <mergeCell ref="F114:G114"/>
    <mergeCell ref="B115:E115"/>
    <mergeCell ref="F115:G115"/>
    <mergeCell ref="B131:J131"/>
    <mergeCell ref="B109:E109"/>
    <mergeCell ref="F109:G109"/>
    <mergeCell ref="F110:G110"/>
    <mergeCell ref="B111:E111"/>
    <mergeCell ref="F111:G111"/>
    <mergeCell ref="F112:G112"/>
    <mergeCell ref="H192:J192"/>
    <mergeCell ref="H193:J193"/>
    <mergeCell ref="H194:J194"/>
    <mergeCell ref="H195:J195"/>
    <mergeCell ref="H196:J196"/>
    <mergeCell ref="H198:J198"/>
    <mergeCell ref="H189:J189"/>
    <mergeCell ref="H191:J191"/>
    <mergeCell ref="C210:G210"/>
    <mergeCell ref="C196:G196"/>
    <mergeCell ref="C198:G198"/>
    <mergeCell ref="C199:G199"/>
    <mergeCell ref="C200:G200"/>
    <mergeCell ref="C201:G201"/>
    <mergeCell ref="C202:G202"/>
    <mergeCell ref="C189:G189"/>
    <mergeCell ref="C191:G191"/>
    <mergeCell ref="C192:G192"/>
    <mergeCell ref="C193:G193"/>
    <mergeCell ref="C194:G194"/>
    <mergeCell ref="C195:G195"/>
    <mergeCell ref="C215:G215"/>
    <mergeCell ref="C216:G216"/>
    <mergeCell ref="C217:G217"/>
    <mergeCell ref="C218:G218"/>
    <mergeCell ref="C219:G219"/>
    <mergeCell ref="C203:G203"/>
    <mergeCell ref="C205:G205"/>
    <mergeCell ref="C206:G206"/>
    <mergeCell ref="C207:G207"/>
    <mergeCell ref="C208:G208"/>
    <mergeCell ref="C209:G209"/>
    <mergeCell ref="C232:G232"/>
    <mergeCell ref="C233:G233"/>
    <mergeCell ref="C229:G229"/>
    <mergeCell ref="C220:G220"/>
    <mergeCell ref="C222:G222"/>
    <mergeCell ref="C223:G223"/>
    <mergeCell ref="C224:G224"/>
    <mergeCell ref="C225:G225"/>
    <mergeCell ref="C226:G226"/>
    <mergeCell ref="C221:G221"/>
    <mergeCell ref="C227:G227"/>
    <mergeCell ref="C228:G228"/>
    <mergeCell ref="C230:G230"/>
    <mergeCell ref="C231:G231"/>
    <mergeCell ref="C255:G255"/>
    <mergeCell ref="H206:J206"/>
    <mergeCell ref="H207:J207"/>
    <mergeCell ref="H208:J208"/>
    <mergeCell ref="H209:J209"/>
    <mergeCell ref="H210:J210"/>
    <mergeCell ref="H215:J215"/>
    <mergeCell ref="H199:J199"/>
    <mergeCell ref="C285:G285"/>
    <mergeCell ref="C272:G272"/>
    <mergeCell ref="C273:G273"/>
    <mergeCell ref="C280:G280"/>
    <mergeCell ref="C281:G281"/>
    <mergeCell ref="C282:G282"/>
    <mergeCell ref="C283:G283"/>
    <mergeCell ref="C278:G278"/>
    <mergeCell ref="C279:G279"/>
    <mergeCell ref="C256:G256"/>
    <mergeCell ref="C257:G257"/>
    <mergeCell ref="C253:G253"/>
    <mergeCell ref="C241:G241"/>
    <mergeCell ref="C242:G242"/>
    <mergeCell ref="C247:G247"/>
    <mergeCell ref="C248:G248"/>
    <mergeCell ref="C251:G251"/>
    <mergeCell ref="C252:G252"/>
    <mergeCell ref="C254:G254"/>
    <mergeCell ref="C249:G249"/>
    <mergeCell ref="C250:G250"/>
    <mergeCell ref="C245:G245"/>
    <mergeCell ref="C246:G246"/>
    <mergeCell ref="C234:G234"/>
    <mergeCell ref="C235:G235"/>
    <mergeCell ref="C237:G237"/>
    <mergeCell ref="C238:G238"/>
    <mergeCell ref="C239:G239"/>
    <mergeCell ref="C240:G240"/>
    <mergeCell ref="C236:G236"/>
    <mergeCell ref="C292:G292"/>
    <mergeCell ref="C293:G293"/>
    <mergeCell ref="C294:G294"/>
    <mergeCell ref="C287:G287"/>
    <mergeCell ref="C288:G288"/>
    <mergeCell ref="C289:G289"/>
    <mergeCell ref="C291:G291"/>
    <mergeCell ref="C258:G258"/>
    <mergeCell ref="C259:G259"/>
    <mergeCell ref="C261:G261"/>
    <mergeCell ref="C262:G262"/>
    <mergeCell ref="C263:G263"/>
    <mergeCell ref="C264:G264"/>
    <mergeCell ref="C260:G260"/>
    <mergeCell ref="C284:G284"/>
    <mergeCell ref="C290:G290"/>
    <mergeCell ref="C265:G265"/>
    <mergeCell ref="C266:G266"/>
    <mergeCell ref="C268:G268"/>
    <mergeCell ref="C269:G269"/>
    <mergeCell ref="C270:G270"/>
    <mergeCell ref="C271:G271"/>
    <mergeCell ref="C267:G267"/>
    <mergeCell ref="C286:G286"/>
    <mergeCell ref="H237:J237"/>
    <mergeCell ref="H200:J200"/>
    <mergeCell ref="H201:J201"/>
    <mergeCell ref="H202:J202"/>
    <mergeCell ref="H203:J203"/>
    <mergeCell ref="H205:J205"/>
    <mergeCell ref="H223:J223"/>
    <mergeCell ref="H224:J224"/>
    <mergeCell ref="H225:J225"/>
    <mergeCell ref="H226:J226"/>
    <mergeCell ref="H230:J230"/>
    <mergeCell ref="H231:J231"/>
    <mergeCell ref="H232:J232"/>
    <mergeCell ref="H233:J233"/>
    <mergeCell ref="H234:J234"/>
    <mergeCell ref="H235:J235"/>
    <mergeCell ref="H227:J227"/>
    <mergeCell ref="H228:J228"/>
    <mergeCell ref="H216:J216"/>
    <mergeCell ref="H217:J217"/>
    <mergeCell ref="H218:J218"/>
    <mergeCell ref="H219:J219"/>
    <mergeCell ref="H220:J220"/>
    <mergeCell ref="H222:J222"/>
    <mergeCell ref="H247:J247"/>
    <mergeCell ref="H248:J248"/>
    <mergeCell ref="H249:J249"/>
    <mergeCell ref="H250:J250"/>
    <mergeCell ref="H251:J251"/>
    <mergeCell ref="H252:J252"/>
    <mergeCell ref="H238:J238"/>
    <mergeCell ref="H239:J239"/>
    <mergeCell ref="H240:J240"/>
    <mergeCell ref="H241:J241"/>
    <mergeCell ref="H242:J242"/>
    <mergeCell ref="H272:J272"/>
    <mergeCell ref="H273:J273"/>
    <mergeCell ref="H261:J261"/>
    <mergeCell ref="H262:J262"/>
    <mergeCell ref="H263:J263"/>
    <mergeCell ref="H264:J264"/>
    <mergeCell ref="H265:J265"/>
    <mergeCell ref="H266:J266"/>
    <mergeCell ref="H254:J254"/>
    <mergeCell ref="H255:J255"/>
    <mergeCell ref="H256:J256"/>
    <mergeCell ref="H257:J257"/>
    <mergeCell ref="H258:J258"/>
    <mergeCell ref="H259:J259"/>
    <mergeCell ref="H294:J294"/>
    <mergeCell ref="C182:G182"/>
    <mergeCell ref="C183:G183"/>
    <mergeCell ref="C190:G190"/>
    <mergeCell ref="C197:G197"/>
    <mergeCell ref="C204:G204"/>
    <mergeCell ref="C213:G213"/>
    <mergeCell ref="C214:G214"/>
    <mergeCell ref="H287:J287"/>
    <mergeCell ref="H288:J288"/>
    <mergeCell ref="H289:J289"/>
    <mergeCell ref="H291:J291"/>
    <mergeCell ref="H292:J292"/>
    <mergeCell ref="H293:J293"/>
    <mergeCell ref="H280:J280"/>
    <mergeCell ref="H281:J281"/>
    <mergeCell ref="H282:J282"/>
    <mergeCell ref="H283:J283"/>
    <mergeCell ref="H285:J285"/>
    <mergeCell ref="H286:J286"/>
    <mergeCell ref="H268:J268"/>
    <mergeCell ref="H269:J269"/>
    <mergeCell ref="H270:J270"/>
    <mergeCell ref="H271:J271"/>
  </mergeCells>
  <pageMargins left="0.37037037037037035" right="0.46296296296296297" top="0.78740157499999996" bottom="0.78740157499999996" header="0.3" footer="0.3"/>
  <pageSetup paperSize="9" orientation="portrait" r:id="rId1"/>
  <headerFooter>
    <oddHeader xml:space="preserve">&amp;LPKI Maturity Model
version 1.0&amp;R&amp;G
</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3" id="{335A2782-2CA7-4E9B-ACE7-A814EE2B2610}">
            <xm:f>$F77=tech!$A$18</xm:f>
            <x14:dxf>
              <font>
                <color theme="1" tint="0.499984740745262"/>
              </font>
              <fill>
                <patternFill>
                  <bgColor theme="0" tint="-0.24994659260841701"/>
                </patternFill>
              </fill>
            </x14:dxf>
          </x14:cfRule>
          <xm:sqref>B77 B79 B81 B83 B87 B89 B91 B93 B95 B97 B99 B101 B103 B105 B107 B109 B111 B113 B115</xm:sqref>
        </x14:conditionalFormatting>
        <x14:conditionalFormatting xmlns:xm="http://schemas.microsoft.com/office/excel/2006/main">
          <x14:cfRule type="cellIs" priority="1" operator="equal" id="{D0715E0E-B872-4546-84A4-2AAD850D025B}">
            <xm:f>tech!$A$18</xm:f>
            <x14:dxf>
              <fill>
                <patternFill>
                  <bgColor theme="0" tint="-4.9989318521683403E-2"/>
                </patternFill>
              </fill>
            </x14:dxf>
          </x14:cfRule>
          <xm:sqref>F77 F79 F81 F83 F87 F89 F91 F93 F95 F97 F99 F101 F103 F105 F107 F109 F111 F113 F115</xm:sqref>
        </x14:conditionalFormatting>
        <x14:conditionalFormatting xmlns:xm="http://schemas.microsoft.com/office/excel/2006/main">
          <x14:cfRule type="expression" priority="2" id="{D7746541-1C7E-464F-9D52-EF7E6E0EDBE7}">
            <xm:f>$F77=tech!$A$18</xm:f>
            <x14:dxf>
              <font>
                <color theme="0" tint="-4.9989318521683403E-2"/>
              </font>
              <fill>
                <patternFill>
                  <bgColor theme="0" tint="-4.9989318521683403E-2"/>
                </patternFill>
              </fill>
            </x14:dxf>
          </x14:cfRule>
          <xm:sqref>H77:J77 H79:J79 H81:J81 H83:J83 H87:J87 H89:J89 H91:J91 H93:J93 H95:J95 H97:J97 H99:J99 H101:J101 H103:J103 H105:J105 H107:J107 H109:J109 H111:J111 H113:J113 H115:J115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F4E6D-7E16-4006-A42A-999ED38ADDC6}">
  <dimension ref="B1:J294"/>
  <sheetViews>
    <sheetView showGridLines="0" view="pageLayout" zoomScale="90" zoomScaleNormal="100" zoomScalePageLayoutView="90" workbookViewId="0">
      <selection activeCell="B1" sqref="B1:J4"/>
    </sheetView>
  </sheetViews>
  <sheetFormatPr defaultColWidth="8.85546875" defaultRowHeight="15" x14ac:dyDescent="0.25"/>
  <cols>
    <col min="1" max="1" width="0.28515625" customWidth="1"/>
    <col min="2" max="3" width="7.42578125" customWidth="1"/>
    <col min="4" max="4" width="14" customWidth="1"/>
    <col min="6" max="6" width="11.85546875" bestFit="1" customWidth="1"/>
    <col min="8" max="8" width="11.85546875" bestFit="1" customWidth="1"/>
    <col min="10" max="10" width="9.28515625" customWidth="1"/>
  </cols>
  <sheetData>
    <row r="1" spans="2:10" x14ac:dyDescent="0.25">
      <c r="B1" s="973" t="s">
        <v>297</v>
      </c>
      <c r="C1" s="973"/>
      <c r="D1" s="973"/>
      <c r="E1" s="973"/>
      <c r="F1" s="973"/>
      <c r="G1" s="973"/>
      <c r="H1" s="973"/>
      <c r="I1" s="973"/>
      <c r="J1" s="973"/>
    </row>
    <row r="2" spans="2:10" x14ac:dyDescent="0.25">
      <c r="B2" s="973"/>
      <c r="C2" s="973"/>
      <c r="D2" s="973"/>
      <c r="E2" s="973"/>
      <c r="F2" s="973"/>
      <c r="G2" s="973"/>
      <c r="H2" s="973"/>
      <c r="I2" s="973"/>
      <c r="J2" s="973"/>
    </row>
    <row r="3" spans="2:10" x14ac:dyDescent="0.25">
      <c r="B3" s="973"/>
      <c r="C3" s="973"/>
      <c r="D3" s="973"/>
      <c r="E3" s="973"/>
      <c r="F3" s="973"/>
      <c r="G3" s="973"/>
      <c r="H3" s="973"/>
      <c r="I3" s="973"/>
      <c r="J3" s="973"/>
    </row>
    <row r="4" spans="2:10" x14ac:dyDescent="0.25">
      <c r="B4" s="973"/>
      <c r="C4" s="973"/>
      <c r="D4" s="973"/>
      <c r="E4" s="973"/>
      <c r="F4" s="973"/>
      <c r="G4" s="973"/>
      <c r="H4" s="973"/>
      <c r="I4" s="973"/>
      <c r="J4" s="973"/>
    </row>
    <row r="5" spans="2:10" x14ac:dyDescent="0.25">
      <c r="B5" s="974" t="s">
        <v>409</v>
      </c>
      <c r="C5" s="974"/>
      <c r="D5" s="974"/>
      <c r="E5" s="974"/>
      <c r="F5" s="974"/>
      <c r="G5" s="974"/>
      <c r="H5" s="974"/>
      <c r="I5" s="974"/>
      <c r="J5" s="974"/>
    </row>
    <row r="6" spans="2:10" x14ac:dyDescent="0.25">
      <c r="B6" s="974"/>
      <c r="C6" s="974"/>
      <c r="D6" s="974"/>
      <c r="E6" s="974"/>
      <c r="F6" s="974"/>
      <c r="G6" s="974"/>
      <c r="H6" s="974"/>
      <c r="I6" s="974"/>
      <c r="J6" s="974"/>
    </row>
    <row r="7" spans="2:10" x14ac:dyDescent="0.25">
      <c r="B7" s="974"/>
      <c r="C7" s="974"/>
      <c r="D7" s="974"/>
      <c r="E7" s="974"/>
      <c r="F7" s="974"/>
      <c r="G7" s="974"/>
      <c r="H7" s="974"/>
      <c r="I7" s="974"/>
      <c r="J7" s="974"/>
    </row>
    <row r="8" spans="2:10" ht="15.75" thickBot="1" x14ac:dyDescent="0.3">
      <c r="B8" s="2"/>
      <c r="C8" s="2"/>
      <c r="D8" s="2"/>
      <c r="E8" s="2"/>
      <c r="F8" s="2"/>
      <c r="G8" s="2"/>
      <c r="H8" s="2"/>
      <c r="I8" s="2"/>
      <c r="J8" s="2"/>
    </row>
    <row r="9" spans="2:10" ht="27" thickBot="1" x14ac:dyDescent="0.3">
      <c r="B9" s="975" t="s">
        <v>298</v>
      </c>
      <c r="C9" s="976"/>
      <c r="D9" s="976"/>
      <c r="E9" s="976"/>
      <c r="F9" s="976"/>
      <c r="G9" s="976"/>
      <c r="H9" s="976"/>
      <c r="I9" s="976"/>
      <c r="J9" s="977"/>
    </row>
    <row r="10" spans="2:10" ht="15.75" thickBot="1" x14ac:dyDescent="0.3">
      <c r="B10" s="978" t="s">
        <v>301</v>
      </c>
      <c r="C10" s="979"/>
      <c r="D10" s="979"/>
      <c r="E10" s="980"/>
      <c r="F10" s="978" t="s">
        <v>206</v>
      </c>
      <c r="G10" s="979"/>
      <c r="H10" s="979"/>
      <c r="I10" s="979"/>
      <c r="J10" s="980"/>
    </row>
    <row r="11" spans="2:10" x14ac:dyDescent="0.25">
      <c r="B11" s="663" t="s">
        <v>207</v>
      </c>
      <c r="C11" s="664"/>
      <c r="D11" s="972">
        <f>Overview!D7</f>
        <v>45048</v>
      </c>
      <c r="E11" s="753"/>
      <c r="F11" s="663" t="s">
        <v>288</v>
      </c>
      <c r="G11" s="664"/>
      <c r="H11" s="664" t="str">
        <f>Overview!L5</f>
        <v>Internal</v>
      </c>
      <c r="I11" s="664"/>
      <c r="J11" s="753"/>
    </row>
    <row r="12" spans="2:10" x14ac:dyDescent="0.25">
      <c r="B12" s="653" t="s">
        <v>299</v>
      </c>
      <c r="C12" s="654"/>
      <c r="D12" s="971">
        <f>Overview!D9</f>
        <v>45108</v>
      </c>
      <c r="E12" s="752"/>
      <c r="F12" s="653" t="s">
        <v>209</v>
      </c>
      <c r="G12" s="654"/>
      <c r="H12" s="654" t="str">
        <f>Overview!L7</f>
        <v>Franta Hrábě</v>
      </c>
      <c r="I12" s="654"/>
      <c r="J12" s="752"/>
    </row>
    <row r="13" spans="2:10" ht="15.75" thickBot="1" x14ac:dyDescent="0.3">
      <c r="B13" s="657" t="s">
        <v>300</v>
      </c>
      <c r="C13" s="640"/>
      <c r="D13" s="640" t="str">
        <f>_xlfn.CONCAT(D12-D11," days")</f>
        <v>60 days</v>
      </c>
      <c r="E13" s="751"/>
      <c r="F13" s="657" t="s">
        <v>208</v>
      </c>
      <c r="G13" s="640"/>
      <c r="H13" s="640" t="str">
        <f>Overview!L6</f>
        <v>3Key Company</v>
      </c>
      <c r="I13" s="640"/>
      <c r="J13" s="751"/>
    </row>
    <row r="14" spans="2:10" x14ac:dyDescent="0.25">
      <c r="B14" s="2"/>
      <c r="C14" s="2"/>
      <c r="D14" s="2"/>
      <c r="E14" s="2"/>
      <c r="F14" s="2"/>
      <c r="G14" s="2"/>
      <c r="H14" s="2"/>
      <c r="I14" s="2"/>
      <c r="J14" s="2"/>
    </row>
    <row r="15" spans="2:10" ht="15.75" thickBot="1" x14ac:dyDescent="0.3">
      <c r="B15" s="2"/>
      <c r="C15" s="2"/>
      <c r="D15" s="2"/>
      <c r="E15" s="2"/>
      <c r="F15" s="2"/>
      <c r="G15" s="2"/>
      <c r="H15" s="2"/>
      <c r="I15" s="2"/>
      <c r="J15" s="2"/>
    </row>
    <row r="16" spans="2:10" ht="37.5" customHeight="1" thickBot="1" x14ac:dyDescent="0.3">
      <c r="B16" s="963" t="s">
        <v>332</v>
      </c>
      <c r="C16" s="964"/>
      <c r="D16" s="964"/>
      <c r="E16" s="964"/>
      <c r="F16" s="964"/>
      <c r="G16" s="964"/>
      <c r="H16" s="964"/>
      <c r="I16" s="964"/>
      <c r="J16" s="965"/>
    </row>
    <row r="17" spans="2:10" ht="7.5" customHeight="1" x14ac:dyDescent="0.25">
      <c r="E17" s="1"/>
    </row>
    <row r="18" spans="2:10" ht="18.75" customHeight="1" thickBot="1" x14ac:dyDescent="0.3">
      <c r="B18" s="966" t="s">
        <v>407</v>
      </c>
      <c r="C18" s="967"/>
      <c r="D18" s="967" t="str">
        <f>Evaluation!C10</f>
        <v>Cool PKI</v>
      </c>
      <c r="E18" s="967"/>
      <c r="F18" s="967"/>
      <c r="G18" s="967"/>
      <c r="H18" s="967"/>
      <c r="I18" s="967"/>
      <c r="J18" s="968"/>
    </row>
    <row r="19" spans="2:10" ht="47.25" thickBot="1" x14ac:dyDescent="0.3">
      <c r="B19" s="966" t="s">
        <v>406</v>
      </c>
      <c r="C19" s="967"/>
      <c r="D19" s="969" t="str">
        <f>Evaluation!F10</f>
        <v>Basic</v>
      </c>
      <c r="E19" s="970"/>
      <c r="F19" s="970"/>
      <c r="G19" s="970"/>
      <c r="H19" s="970"/>
      <c r="I19" s="274"/>
      <c r="J19" s="274"/>
    </row>
    <row r="20" spans="2:10" ht="50.25" customHeight="1" thickBot="1" x14ac:dyDescent="0.3">
      <c r="B20" s="966" t="s">
        <v>405</v>
      </c>
      <c r="C20" s="967"/>
      <c r="D20" s="957" t="str">
        <f>Evaluation!F12</f>
        <v>Process is characterized by each particular case or project and controls are often reactive</v>
      </c>
      <c r="E20" s="957"/>
      <c r="F20" s="957"/>
      <c r="G20" s="957"/>
      <c r="H20" s="957"/>
      <c r="I20" s="957"/>
      <c r="J20" s="958"/>
    </row>
    <row r="21" spans="2:10" ht="105" customHeight="1" thickBot="1" x14ac:dyDescent="0.3">
      <c r="B21" s="955" t="s">
        <v>144</v>
      </c>
      <c r="C21" s="956"/>
      <c r="D21" s="957" t="str">
        <f>Evaluation!D14</f>
        <v>• PKI is ad-hoc managed, often reactive
• There are defined processes and procedures which are followed
• PKI is not managed according to industry standards and regulations
• Insufficient knowledge</v>
      </c>
      <c r="E21" s="957"/>
      <c r="F21" s="957"/>
      <c r="G21" s="957"/>
      <c r="H21" s="957"/>
      <c r="I21" s="957"/>
      <c r="J21" s="958"/>
    </row>
    <row r="22" spans="2:10" ht="60" customHeight="1" x14ac:dyDescent="0.25">
      <c r="B22" s="959" t="s">
        <v>145</v>
      </c>
      <c r="C22" s="960"/>
      <c r="D22" s="961" t="str">
        <f>Evaluation!D15</f>
        <v>• High probability of operational issues
• Medium probability of compromise
• no trust</v>
      </c>
      <c r="E22" s="961"/>
      <c r="F22" s="961"/>
      <c r="G22" s="961"/>
      <c r="H22" s="961"/>
      <c r="I22" s="961"/>
      <c r="J22" s="962"/>
    </row>
    <row r="23" spans="2:10" x14ac:dyDescent="0.25">
      <c r="B23" s="2"/>
      <c r="C23" s="2"/>
      <c r="D23" s="2"/>
      <c r="E23" s="2"/>
      <c r="F23" s="2"/>
      <c r="G23" s="2"/>
      <c r="H23" s="2"/>
      <c r="I23" s="2"/>
      <c r="J23" s="2"/>
    </row>
    <row r="24" spans="2:10" x14ac:dyDescent="0.25">
      <c r="B24" s="2"/>
      <c r="C24" s="2"/>
      <c r="D24" s="2"/>
      <c r="E24" s="2"/>
      <c r="F24" s="2"/>
      <c r="G24" s="2"/>
      <c r="H24" s="2"/>
      <c r="I24" s="2"/>
      <c r="J24" s="2"/>
    </row>
    <row r="25" spans="2:10" x14ac:dyDescent="0.25">
      <c r="B25" s="2"/>
      <c r="C25" s="2"/>
      <c r="D25" s="2"/>
      <c r="E25" s="2"/>
      <c r="F25" s="2"/>
      <c r="G25" s="2"/>
      <c r="H25" s="2"/>
      <c r="I25" s="2"/>
      <c r="J25" s="2"/>
    </row>
    <row r="26" spans="2:10" x14ac:dyDescent="0.25">
      <c r="B26" s="2"/>
      <c r="C26" s="2"/>
      <c r="D26" s="2"/>
      <c r="E26" s="2"/>
      <c r="F26" s="2"/>
      <c r="G26" s="2"/>
      <c r="H26" s="2"/>
      <c r="I26" s="2"/>
      <c r="J26" s="2"/>
    </row>
    <row r="27" spans="2:10" x14ac:dyDescent="0.25">
      <c r="B27" s="2"/>
      <c r="C27" s="2"/>
      <c r="D27" s="2"/>
      <c r="E27" s="2"/>
      <c r="F27" s="2"/>
      <c r="G27" s="2"/>
      <c r="H27" s="2"/>
      <c r="I27" s="2"/>
      <c r="J27" s="2"/>
    </row>
    <row r="28" spans="2:10" x14ac:dyDescent="0.25">
      <c r="B28" s="2"/>
      <c r="C28" s="2"/>
      <c r="D28" s="2"/>
      <c r="E28" s="2"/>
      <c r="F28" s="2"/>
      <c r="G28" s="2"/>
      <c r="H28" s="2"/>
      <c r="I28" s="2"/>
      <c r="J28" s="2"/>
    </row>
    <row r="29" spans="2:10" x14ac:dyDescent="0.25">
      <c r="B29" s="2"/>
      <c r="C29" s="2"/>
      <c r="D29" s="2"/>
      <c r="E29" s="2"/>
      <c r="F29" s="2"/>
      <c r="G29" s="2"/>
      <c r="H29" s="2"/>
      <c r="I29" s="2"/>
      <c r="J29" s="2"/>
    </row>
    <row r="30" spans="2:10" x14ac:dyDescent="0.25">
      <c r="B30" s="2"/>
      <c r="C30" s="2"/>
      <c r="D30" s="2"/>
      <c r="E30" s="2"/>
      <c r="F30" s="2"/>
      <c r="G30" s="2"/>
      <c r="H30" s="2"/>
      <c r="I30" s="2"/>
      <c r="J30" s="2"/>
    </row>
    <row r="31" spans="2:10" x14ac:dyDescent="0.25">
      <c r="B31" s="2"/>
      <c r="C31" s="2"/>
      <c r="D31" s="2"/>
      <c r="E31" s="2"/>
      <c r="F31" s="2"/>
      <c r="G31" s="2"/>
      <c r="H31" s="2"/>
      <c r="I31" s="2"/>
      <c r="J31" s="2"/>
    </row>
    <row r="32" spans="2:10" x14ac:dyDescent="0.25">
      <c r="B32" s="2"/>
      <c r="C32" s="2"/>
      <c r="D32" s="2"/>
      <c r="E32" s="2"/>
      <c r="F32" s="2"/>
      <c r="G32" s="2"/>
      <c r="H32" s="2"/>
      <c r="I32" s="2"/>
      <c r="J32" s="2"/>
    </row>
    <row r="33" spans="2:10" x14ac:dyDescent="0.25">
      <c r="B33" s="2"/>
      <c r="C33" s="2"/>
      <c r="D33" s="2"/>
      <c r="E33" s="2"/>
      <c r="F33" s="2"/>
      <c r="G33" s="2"/>
      <c r="H33" s="2"/>
      <c r="I33" s="2"/>
      <c r="J33" s="2"/>
    </row>
    <row r="34" spans="2:10" x14ac:dyDescent="0.25">
      <c r="B34" s="2"/>
      <c r="C34" s="2"/>
      <c r="D34" s="2"/>
      <c r="E34" s="2"/>
      <c r="F34" s="2"/>
      <c r="G34" s="2"/>
      <c r="H34" s="2"/>
      <c r="I34" s="2"/>
      <c r="J34" s="2"/>
    </row>
    <row r="35" spans="2:10" ht="15.75" thickBot="1" x14ac:dyDescent="0.3">
      <c r="B35" s="2"/>
      <c r="C35" s="2"/>
      <c r="D35" s="2"/>
      <c r="E35" s="2"/>
      <c r="F35" s="2"/>
      <c r="G35" s="2"/>
      <c r="H35" s="2"/>
      <c r="I35" s="2"/>
      <c r="J35" s="2"/>
    </row>
    <row r="36" spans="2:10" ht="27" thickBot="1" x14ac:dyDescent="0.3">
      <c r="B36" s="999" t="s">
        <v>315</v>
      </c>
      <c r="C36" s="1000"/>
      <c r="D36" s="1000"/>
      <c r="E36" s="1000"/>
      <c r="F36" s="1000"/>
      <c r="G36" s="1000"/>
      <c r="H36" s="1000"/>
      <c r="I36" s="1000"/>
      <c r="J36" s="1001"/>
    </row>
    <row r="37" spans="2:10" x14ac:dyDescent="0.25">
      <c r="B37" s="994" t="s">
        <v>319</v>
      </c>
      <c r="C37" s="995"/>
      <c r="D37" s="995"/>
      <c r="E37" s="995"/>
      <c r="F37" s="243"/>
      <c r="G37" s="243"/>
      <c r="H37" s="243"/>
      <c r="I37" s="243"/>
      <c r="J37" s="244"/>
    </row>
    <row r="38" spans="2:10" ht="180" customHeight="1" thickBot="1" x14ac:dyDescent="0.3">
      <c r="B38" s="1002" t="str">
        <f>IF(Overview!B16="","",Overview!B16)</f>
        <v/>
      </c>
      <c r="C38" s="1003"/>
      <c r="D38" s="1003"/>
      <c r="E38" s="1003"/>
      <c r="F38" s="1003"/>
      <c r="G38" s="1003"/>
      <c r="H38" s="1003"/>
      <c r="I38" s="1003"/>
      <c r="J38" s="1004"/>
    </row>
    <row r="39" spans="2:10" ht="15.75" thickBot="1" x14ac:dyDescent="0.3"/>
    <row r="40" spans="2:10" x14ac:dyDescent="0.25">
      <c r="B40" s="994" t="s">
        <v>320</v>
      </c>
      <c r="C40" s="995"/>
      <c r="D40" s="995"/>
      <c r="E40" s="995"/>
      <c r="F40" s="995"/>
      <c r="G40" s="245"/>
      <c r="H40" s="245"/>
      <c r="I40" s="245"/>
      <c r="J40" s="246"/>
    </row>
    <row r="41" spans="2:10" ht="180" customHeight="1" thickBot="1" x14ac:dyDescent="0.3">
      <c r="B41" s="992" t="str">
        <f>IF(Overview!B20="","",Overview!B20)</f>
        <v/>
      </c>
      <c r="C41" s="993"/>
      <c r="D41" s="993"/>
      <c r="E41" s="993"/>
      <c r="F41" s="993"/>
      <c r="G41" s="993"/>
      <c r="H41" s="993"/>
      <c r="I41" s="993"/>
      <c r="J41" s="703"/>
    </row>
    <row r="42" spans="2:10" ht="15.75" thickBot="1" x14ac:dyDescent="0.3"/>
    <row r="43" spans="2:10" x14ac:dyDescent="0.25">
      <c r="B43" s="994" t="s">
        <v>321</v>
      </c>
      <c r="C43" s="995"/>
      <c r="D43" s="995"/>
      <c r="E43" s="995"/>
      <c r="F43" s="245"/>
      <c r="G43" s="245"/>
      <c r="H43" s="245"/>
      <c r="I43" s="245"/>
      <c r="J43" s="246"/>
    </row>
    <row r="44" spans="2:10" ht="180" customHeight="1" thickBot="1" x14ac:dyDescent="0.3">
      <c r="B44" s="992" t="str">
        <f>IF(Overview!B24="","",Overview!B24)</f>
        <v/>
      </c>
      <c r="C44" s="993"/>
      <c r="D44" s="993"/>
      <c r="E44" s="993"/>
      <c r="F44" s="993"/>
      <c r="G44" s="993"/>
      <c r="H44" s="993"/>
      <c r="I44" s="993"/>
      <c r="J44" s="703"/>
    </row>
    <row r="45" spans="2:10" x14ac:dyDescent="0.25">
      <c r="B45" s="141"/>
      <c r="C45" s="141"/>
      <c r="D45" s="141"/>
      <c r="E45" s="141"/>
      <c r="F45" s="141"/>
      <c r="G45" s="141"/>
      <c r="H45" s="141"/>
      <c r="I45" s="141"/>
      <c r="J45" s="141"/>
    </row>
    <row r="46" spans="2:10" x14ac:dyDescent="0.25">
      <c r="B46" s="141"/>
      <c r="C46" s="141"/>
      <c r="D46" s="141"/>
      <c r="E46" s="141"/>
      <c r="F46" s="141"/>
      <c r="G46" s="141"/>
      <c r="H46" s="141"/>
      <c r="I46" s="141"/>
      <c r="J46" s="141"/>
    </row>
    <row r="47" spans="2:10" x14ac:dyDescent="0.25">
      <c r="B47" s="141"/>
      <c r="C47" s="141"/>
      <c r="D47" s="141"/>
      <c r="E47" s="141"/>
      <c r="F47" s="141"/>
      <c r="G47" s="141"/>
      <c r="H47" s="141"/>
      <c r="I47" s="141"/>
      <c r="J47" s="141"/>
    </row>
    <row r="48" spans="2:10" x14ac:dyDescent="0.25">
      <c r="B48" s="141"/>
      <c r="C48" s="141"/>
      <c r="D48" s="141"/>
      <c r="E48" s="141"/>
      <c r="F48" s="141"/>
      <c r="G48" s="141"/>
      <c r="H48" s="141"/>
      <c r="I48" s="141"/>
      <c r="J48" s="141"/>
    </row>
    <row r="49" spans="2:10" x14ac:dyDescent="0.25">
      <c r="B49" s="141"/>
      <c r="C49" s="141"/>
      <c r="D49" s="141"/>
      <c r="E49" s="141"/>
      <c r="F49" s="141"/>
      <c r="G49" s="141"/>
      <c r="H49" s="141"/>
      <c r="I49" s="141"/>
      <c r="J49" s="141"/>
    </row>
    <row r="50" spans="2:10" x14ac:dyDescent="0.25">
      <c r="B50" s="141"/>
      <c r="C50" s="141"/>
      <c r="D50" s="141"/>
      <c r="E50" s="141"/>
      <c r="F50" s="141"/>
      <c r="G50" s="141"/>
      <c r="H50" s="141"/>
      <c r="I50" s="141"/>
      <c r="J50" s="141"/>
    </row>
    <row r="51" spans="2:10" ht="15.75" thickBot="1" x14ac:dyDescent="0.3"/>
    <row r="52" spans="2:10" ht="27" thickBot="1" x14ac:dyDescent="0.45">
      <c r="B52" s="989" t="s">
        <v>316</v>
      </c>
      <c r="C52" s="990"/>
      <c r="D52" s="990"/>
      <c r="E52" s="990"/>
      <c r="F52" s="990"/>
      <c r="G52" s="990"/>
      <c r="H52" s="990"/>
      <c r="I52" s="990"/>
      <c r="J52" s="991"/>
    </row>
    <row r="53" spans="2:10" ht="15.75" thickBot="1" x14ac:dyDescent="0.3"/>
    <row r="54" spans="2:10" x14ac:dyDescent="0.25">
      <c r="B54" s="994" t="s">
        <v>317</v>
      </c>
      <c r="C54" s="995"/>
      <c r="D54" s="995"/>
      <c r="E54" s="995"/>
      <c r="F54" s="995"/>
      <c r="G54" s="245"/>
      <c r="H54" s="245"/>
      <c r="I54" s="245"/>
      <c r="J54" s="246"/>
    </row>
    <row r="55" spans="2:10" ht="240" customHeight="1" thickBot="1" x14ac:dyDescent="0.3">
      <c r="B55" s="992" t="str">
        <f>IF(Overview!B31="","",Overview!B31)</f>
        <v/>
      </c>
      <c r="C55" s="993"/>
      <c r="D55" s="993"/>
      <c r="E55" s="993"/>
      <c r="F55" s="993"/>
      <c r="G55" s="993"/>
      <c r="H55" s="993"/>
      <c r="I55" s="993"/>
      <c r="J55" s="703"/>
    </row>
    <row r="56" spans="2:10" ht="15.75" thickBot="1" x14ac:dyDescent="0.3"/>
    <row r="57" spans="2:10" x14ac:dyDescent="0.25">
      <c r="B57" s="994" t="s">
        <v>318</v>
      </c>
      <c r="C57" s="995"/>
      <c r="D57" s="995"/>
      <c r="E57" s="995"/>
      <c r="F57" s="995"/>
      <c r="G57" s="995"/>
      <c r="H57" s="245"/>
      <c r="I57" s="245"/>
      <c r="J57" s="246"/>
    </row>
    <row r="58" spans="2:10" ht="240" customHeight="1" thickBot="1" x14ac:dyDescent="0.3">
      <c r="B58" s="992" t="str">
        <f>IF(Overview!B35="","",Overview!B35)</f>
        <v/>
      </c>
      <c r="C58" s="993"/>
      <c r="D58" s="993"/>
      <c r="E58" s="993"/>
      <c r="F58" s="993"/>
      <c r="G58" s="993"/>
      <c r="H58" s="993"/>
      <c r="I58" s="993"/>
      <c r="J58" s="703"/>
    </row>
    <row r="70" spans="2:10" ht="15.75" thickBot="1" x14ac:dyDescent="0.3"/>
    <row r="71" spans="2:10" ht="27" thickBot="1" x14ac:dyDescent="0.45">
      <c r="B71" s="989" t="s">
        <v>326</v>
      </c>
      <c r="C71" s="990"/>
      <c r="D71" s="990"/>
      <c r="E71" s="990"/>
      <c r="F71" s="990"/>
      <c r="G71" s="990"/>
      <c r="H71" s="990"/>
      <c r="I71" s="990"/>
      <c r="J71" s="991"/>
    </row>
    <row r="73" spans="2:10" ht="15.75" thickBot="1" x14ac:dyDescent="0.3">
      <c r="B73" s="229"/>
      <c r="C73" s="229"/>
      <c r="D73" s="229"/>
      <c r="E73" s="229"/>
      <c r="F73" s="1016" t="s">
        <v>329</v>
      </c>
      <c r="G73" s="1016"/>
      <c r="H73" s="229"/>
      <c r="I73" s="229"/>
      <c r="J73" s="273" t="s">
        <v>55</v>
      </c>
    </row>
    <row r="74" spans="2:10" ht="45" customHeight="1" thickBot="1" x14ac:dyDescent="0.3">
      <c r="B74" s="988" t="s">
        <v>328</v>
      </c>
      <c r="C74" s="988"/>
      <c r="D74" s="988"/>
      <c r="E74" s="237"/>
      <c r="F74" s="1017" t="str">
        <f>_xlfn.CONCAT(Evaluation!N10," of ",Evaluation!N10+IF(Evaluation!G10="",0,Evaluation!G10))</f>
        <v>72 of 72</v>
      </c>
      <c r="G74" s="1017"/>
      <c r="H74" s="237"/>
      <c r="I74" s="237"/>
      <c r="J74" s="285">
        <f>IF(Evaluation!G10="",0,Evaluation!G10)</f>
        <v>0</v>
      </c>
    </row>
    <row r="75" spans="2:10" ht="18.75" x14ac:dyDescent="0.25">
      <c r="B75" s="996" t="s">
        <v>330</v>
      </c>
      <c r="C75" s="996"/>
      <c r="D75" s="996"/>
      <c r="E75" s="230"/>
      <c r="F75" s="230"/>
      <c r="G75" s="230"/>
      <c r="H75" s="230"/>
      <c r="I75" s="230"/>
      <c r="J75" s="236"/>
    </row>
    <row r="76" spans="2:10" ht="3.75" customHeight="1" x14ac:dyDescent="0.25">
      <c r="B76" s="224"/>
      <c r="C76" s="224"/>
      <c r="D76" s="224"/>
      <c r="J76" s="231"/>
    </row>
    <row r="77" spans="2:10" ht="17.25" x14ac:dyDescent="0.25">
      <c r="B77" s="1015" t="str">
        <f>Evaluation!C19</f>
        <v>1. Governance</v>
      </c>
      <c r="C77" s="1015"/>
      <c r="D77" s="1015"/>
      <c r="E77" s="1015"/>
      <c r="F77" s="1011" t="str">
        <f>IF(Evaluation!N19="",tech!$A$18,_xlfn.CONCAT(Evaluation!N19," of ",Evaluation!N19+IF(Evaluation!G19="",0,Evaluation!G19)))</f>
        <v>18 of 18</v>
      </c>
      <c r="G77" s="1011"/>
      <c r="H77" s="223"/>
      <c r="I77" s="223"/>
      <c r="J77" s="232">
        <f>IF(Evaluation!G19="",0,Evaluation!G19)</f>
        <v>0</v>
      </c>
    </row>
    <row r="78" spans="2:10" ht="3.75" customHeight="1" x14ac:dyDescent="0.3">
      <c r="B78" s="228"/>
      <c r="C78" s="228"/>
      <c r="D78" s="228"/>
      <c r="F78" s="981"/>
      <c r="G78" s="981"/>
      <c r="J78" s="231"/>
    </row>
    <row r="79" spans="2:10" ht="17.25" x14ac:dyDescent="0.25">
      <c r="B79" s="1014" t="str">
        <f>Evaluation!C21</f>
        <v>2. Management</v>
      </c>
      <c r="C79" s="1014"/>
      <c r="D79" s="1014"/>
      <c r="E79" s="1014"/>
      <c r="F79" s="1010" t="str">
        <f>IF(Evaluation!N21="",tech!$A$18,_xlfn.CONCAT(Evaluation!N21," of ",Evaluation!N21+IF(Evaluation!G21="",0,Evaluation!G21)))</f>
        <v>23 of 23</v>
      </c>
      <c r="G79" s="1010"/>
      <c r="H79" s="225"/>
      <c r="I79" s="225"/>
      <c r="J79" s="233">
        <f>IF(Evaluation!G21="",0,Evaluation!G21)</f>
        <v>0</v>
      </c>
    </row>
    <row r="80" spans="2:10" ht="3.75" customHeight="1" x14ac:dyDescent="0.3">
      <c r="B80" s="228"/>
      <c r="C80" s="228"/>
      <c r="D80" s="228"/>
      <c r="F80" s="981"/>
      <c r="G80" s="981"/>
      <c r="J80" s="231"/>
    </row>
    <row r="81" spans="2:10" ht="17.25" x14ac:dyDescent="0.25">
      <c r="B81" s="1013" t="str">
        <f>Evaluation!C23</f>
        <v>3. Operations</v>
      </c>
      <c r="C81" s="1013"/>
      <c r="D81" s="1013"/>
      <c r="E81" s="1013"/>
      <c r="F81" s="1009" t="str">
        <f>IF(Evaluation!N23="",tech!$A$18,_xlfn.CONCAT(Evaluation!N23," of ",Evaluation!N23+IF(Evaluation!G23="",0,Evaluation!G23)))</f>
        <v>18 of 18</v>
      </c>
      <c r="G81" s="1009"/>
      <c r="H81" s="226"/>
      <c r="I81" s="226"/>
      <c r="J81" s="234">
        <f>IF(Evaluation!G23="",0,Evaluation!G23)</f>
        <v>0</v>
      </c>
    </row>
    <row r="82" spans="2:10" ht="3.75" customHeight="1" x14ac:dyDescent="0.3">
      <c r="B82" s="228"/>
      <c r="C82" s="228"/>
      <c r="D82" s="228"/>
      <c r="F82" s="981"/>
      <c r="G82" s="981"/>
      <c r="J82" s="231"/>
    </row>
    <row r="83" spans="2:10" ht="17.25" x14ac:dyDescent="0.25">
      <c r="B83" s="1012" t="str">
        <f>Evaluation!C25</f>
        <v>4. Resources</v>
      </c>
      <c r="C83" s="1012"/>
      <c r="D83" s="1012"/>
      <c r="E83" s="1012"/>
      <c r="F83" s="1008" t="str">
        <f>IF(Evaluation!N25="",tech!$A$18,_xlfn.CONCAT(Evaluation!N25," of ",Evaluation!N25+IF(Evaluation!G25="",0,Evaluation!G25)))</f>
        <v>13 of 13</v>
      </c>
      <c r="G83" s="1008"/>
      <c r="H83" s="227"/>
      <c r="I83" s="227"/>
      <c r="J83" s="235">
        <f>IF(Evaluation!G25="",0,Evaluation!G25)</f>
        <v>0</v>
      </c>
    </row>
    <row r="84" spans="2:10" ht="7.5" customHeight="1" thickBot="1" x14ac:dyDescent="0.3">
      <c r="J84" s="231"/>
    </row>
    <row r="85" spans="2:10" ht="18.75" x14ac:dyDescent="0.25">
      <c r="B85" s="996" t="s">
        <v>408</v>
      </c>
      <c r="C85" s="996"/>
      <c r="D85" s="996"/>
      <c r="E85" s="230"/>
      <c r="F85" s="230"/>
      <c r="G85" s="230"/>
      <c r="H85" s="230"/>
      <c r="I85" s="230"/>
      <c r="J85" s="236"/>
    </row>
    <row r="86" spans="2:10" ht="3.75" customHeight="1" x14ac:dyDescent="0.25">
      <c r="B86" s="224"/>
      <c r="C86" s="224"/>
      <c r="D86" s="224"/>
      <c r="J86" s="231"/>
    </row>
    <row r="87" spans="2:10" ht="15.75" x14ac:dyDescent="0.25">
      <c r="B87" s="997" t="str">
        <f>Evaluation!C30</f>
        <v>1.1. Strategy and vision</v>
      </c>
      <c r="C87" s="997"/>
      <c r="D87" s="997"/>
      <c r="E87" s="997"/>
      <c r="F87" s="998" t="str">
        <f>IF(Evaluation!N30="",tech!$A$18,_xlfn.CONCAT(Evaluation!N30," of ",Evaluation!N30+IF(Evaluation!G30="",0,Evaluation!G30)))</f>
        <v>4 of 4</v>
      </c>
      <c r="G87" s="998"/>
      <c r="H87" s="223"/>
      <c r="I87" s="275"/>
      <c r="J87" s="280">
        <f>IF(Evaluation!G30="",0,Evaluation!G30)</f>
        <v>0</v>
      </c>
    </row>
    <row r="88" spans="2:10" ht="3.75" customHeight="1" x14ac:dyDescent="0.25">
      <c r="F88" s="981"/>
      <c r="G88" s="981"/>
      <c r="I88" s="276"/>
      <c r="J88" s="281"/>
    </row>
    <row r="89" spans="2:10" ht="15.75" x14ac:dyDescent="0.25">
      <c r="B89" s="997" t="str">
        <f>Evaluation!C32</f>
        <v>1.2. Policies and documentation</v>
      </c>
      <c r="C89" s="997"/>
      <c r="D89" s="997"/>
      <c r="E89" s="997"/>
      <c r="F89" s="998" t="str">
        <f>IF(Evaluation!N32="",tech!$A$18,_xlfn.CONCAT(Evaluation!N32," of ",Evaluation!N32+IF(Evaluation!G32="",0,Evaluation!G32)))</f>
        <v>5 of 5</v>
      </c>
      <c r="G89" s="998"/>
      <c r="H89" s="223"/>
      <c r="I89" s="275"/>
      <c r="J89" s="280">
        <f>IF(Evaluation!G32="",0,Evaluation!G32)</f>
        <v>0</v>
      </c>
    </row>
    <row r="90" spans="2:10" ht="3.75" customHeight="1" x14ac:dyDescent="0.25">
      <c r="F90" s="981"/>
      <c r="G90" s="981"/>
      <c r="I90" s="276"/>
      <c r="J90" s="281"/>
    </row>
    <row r="91" spans="2:10" ht="15.75" x14ac:dyDescent="0.25">
      <c r="B91" s="997" t="str">
        <f>Evaluation!C34</f>
        <v>1.3. Compliance</v>
      </c>
      <c r="C91" s="997"/>
      <c r="D91" s="997"/>
      <c r="E91" s="997"/>
      <c r="F91" s="998" t="str">
        <f>IF(Evaluation!N34="",tech!$A$18,_xlfn.CONCAT(Evaluation!N34," of ",Evaluation!N34+IF(Evaluation!G34="",0,Evaluation!G34)))</f>
        <v>4 of 4</v>
      </c>
      <c r="G91" s="998"/>
      <c r="H91" s="223"/>
      <c r="I91" s="275"/>
      <c r="J91" s="280">
        <f>IF(Evaluation!G34="",0,Evaluation!G34)</f>
        <v>0</v>
      </c>
    </row>
    <row r="92" spans="2:10" ht="3.75" customHeight="1" x14ac:dyDescent="0.25">
      <c r="F92" s="981"/>
      <c r="G92" s="981"/>
      <c r="I92" s="276"/>
      <c r="J92" s="281"/>
    </row>
    <row r="93" spans="2:10" ht="15.75" x14ac:dyDescent="0.25">
      <c r="B93" s="997" t="str">
        <f>Evaluation!C36</f>
        <v>1.4. Processes and procedures</v>
      </c>
      <c r="C93" s="997"/>
      <c r="D93" s="997"/>
      <c r="E93" s="997"/>
      <c r="F93" s="998" t="str">
        <f>IF(Evaluation!N36="",tech!$A$18,_xlfn.CONCAT(Evaluation!N36," of ",Evaluation!N36+IF(Evaluation!G36="",0,Evaluation!G36)))</f>
        <v>5 of 5</v>
      </c>
      <c r="G93" s="998"/>
      <c r="H93" s="223"/>
      <c r="I93" s="275"/>
      <c r="J93" s="280">
        <f>IF(Evaluation!G36="",0,Evaluation!G36)</f>
        <v>0</v>
      </c>
    </row>
    <row r="94" spans="2:10" ht="3.75" customHeight="1" x14ac:dyDescent="0.25">
      <c r="F94" s="981"/>
      <c r="G94" s="981"/>
      <c r="I94" s="276"/>
      <c r="J94" s="281"/>
    </row>
    <row r="95" spans="2:10" ht="15.75" x14ac:dyDescent="0.25">
      <c r="B95" s="983" t="str">
        <f>Evaluation!C38</f>
        <v>2.1. Key Management</v>
      </c>
      <c r="C95" s="983"/>
      <c r="D95" s="983"/>
      <c r="E95" s="983"/>
      <c r="F95" s="982" t="str">
        <f>IF(Evaluation!N38="",tech!$A$18,_xlfn.CONCAT(Evaluation!N38," of ",Evaluation!N38+IF(Evaluation!G38="",0,Evaluation!G38)))</f>
        <v>6 of 6</v>
      </c>
      <c r="G95" s="982"/>
      <c r="H95" s="225"/>
      <c r="I95" s="277"/>
      <c r="J95" s="282">
        <f>IF(Evaluation!G38="",0,Evaluation!G38)</f>
        <v>0</v>
      </c>
    </row>
    <row r="96" spans="2:10" ht="3.75" customHeight="1" x14ac:dyDescent="0.25">
      <c r="F96" s="981"/>
      <c r="G96" s="981"/>
      <c r="I96" s="276"/>
      <c r="J96" s="281"/>
    </row>
    <row r="97" spans="2:10" ht="15.75" x14ac:dyDescent="0.25">
      <c r="B97" s="983" t="str">
        <f>Evaluation!C40</f>
        <v>2.2. Certificate Management</v>
      </c>
      <c r="C97" s="983"/>
      <c r="D97" s="983"/>
      <c r="E97" s="983"/>
      <c r="F97" s="982" t="str">
        <f>IF(Evaluation!N40="",tech!$A$18,_xlfn.CONCAT(Evaluation!N40," of ",Evaluation!N40+IF(Evaluation!G40="",0,Evaluation!G40)))</f>
        <v>7 of 7</v>
      </c>
      <c r="G97" s="982"/>
      <c r="H97" s="225"/>
      <c r="I97" s="277"/>
      <c r="J97" s="282">
        <f>IF(Evaluation!G40="",0,Evaluation!G40)</f>
        <v>0</v>
      </c>
    </row>
    <row r="98" spans="2:10" ht="3.75" customHeight="1" x14ac:dyDescent="0.25">
      <c r="F98" s="981"/>
      <c r="G98" s="981"/>
      <c r="I98" s="276"/>
      <c r="J98" s="281"/>
    </row>
    <row r="99" spans="2:10" ht="15.75" x14ac:dyDescent="0.25">
      <c r="B99" s="983" t="str">
        <f>Evaluation!C42</f>
        <v>2.3. Infrastructure Management</v>
      </c>
      <c r="C99" s="983"/>
      <c r="D99" s="983"/>
      <c r="E99" s="983"/>
      <c r="F99" s="982" t="str">
        <f>IF(Evaluation!N42="",tech!$A$18,_xlfn.CONCAT(Evaluation!N42," of ",Evaluation!N42+IF(Evaluation!G42="",0,Evaluation!G42)))</f>
        <v>5 of 5</v>
      </c>
      <c r="G99" s="982"/>
      <c r="H99" s="225"/>
      <c r="I99" s="277"/>
      <c r="J99" s="282">
        <f>IF(Evaluation!G42="",0,Evaluation!G42)</f>
        <v>0</v>
      </c>
    </row>
    <row r="100" spans="2:10" ht="3.75" customHeight="1" x14ac:dyDescent="0.25">
      <c r="F100" s="981"/>
      <c r="G100" s="981"/>
      <c r="I100" s="276"/>
      <c r="J100" s="281"/>
    </row>
    <row r="101" spans="2:10" ht="15.75" x14ac:dyDescent="0.25">
      <c r="B101" s="983" t="str">
        <f>Evaluation!C44</f>
        <v>2.4. Change Management and Agility</v>
      </c>
      <c r="C101" s="983"/>
      <c r="D101" s="983"/>
      <c r="E101" s="983"/>
      <c r="F101" s="982" t="str">
        <f>IF(Evaluation!N44="",tech!$A$18,_xlfn.CONCAT(Evaluation!N44," of ",Evaluation!N44+IF(Evaluation!G44="",0,Evaluation!G44)))</f>
        <v>5 of 5</v>
      </c>
      <c r="G101" s="982"/>
      <c r="H101" s="225"/>
      <c r="I101" s="277"/>
      <c r="J101" s="282">
        <f>IF(Evaluation!G44="",0,Evaluation!G44)</f>
        <v>0</v>
      </c>
    </row>
    <row r="102" spans="2:10" ht="3.75" customHeight="1" x14ac:dyDescent="0.25">
      <c r="F102" s="981"/>
      <c r="G102" s="981"/>
      <c r="I102" s="276"/>
      <c r="J102" s="281"/>
    </row>
    <row r="103" spans="2:10" ht="15.75" x14ac:dyDescent="0.25">
      <c r="B103" s="985" t="str">
        <f>Evaluation!C46</f>
        <v>3.1. Resilience</v>
      </c>
      <c r="C103" s="985"/>
      <c r="D103" s="985"/>
      <c r="E103" s="985"/>
      <c r="F103" s="986" t="str">
        <f>IF(Evaluation!N46="",tech!$A$18,_xlfn.CONCAT(Evaluation!N46," of ",Evaluation!N46+IF(Evaluation!G46="",0,Evaluation!G46)))</f>
        <v>6 of 6</v>
      </c>
      <c r="G103" s="986"/>
      <c r="H103" s="226"/>
      <c r="I103" s="278"/>
      <c r="J103" s="283">
        <f>IF(Evaluation!G46="",0,Evaluation!G46)</f>
        <v>0</v>
      </c>
    </row>
    <row r="104" spans="2:10" ht="3.75" customHeight="1" x14ac:dyDescent="0.25">
      <c r="F104" s="981"/>
      <c r="G104" s="981"/>
      <c r="I104" s="276"/>
      <c r="J104" s="281"/>
    </row>
    <row r="105" spans="2:10" ht="15.75" x14ac:dyDescent="0.25">
      <c r="B105" s="985" t="str">
        <f>Evaluation!C48</f>
        <v>3.2. Interoperability</v>
      </c>
      <c r="C105" s="985"/>
      <c r="D105" s="985"/>
      <c r="E105" s="985"/>
      <c r="F105" s="986" t="str">
        <f>IF(Evaluation!N48="",tech!$A$18,_xlfn.CONCAT(Evaluation!N48," of ",Evaluation!N48+IF(Evaluation!G48="",0,Evaluation!G48)))</f>
        <v>3 of 3</v>
      </c>
      <c r="G105" s="986"/>
      <c r="H105" s="226"/>
      <c r="I105" s="278"/>
      <c r="J105" s="283">
        <f>IF(Evaluation!G48="",0,Evaluation!G48)</f>
        <v>0</v>
      </c>
    </row>
    <row r="106" spans="2:10" ht="3.75" customHeight="1" x14ac:dyDescent="0.25">
      <c r="F106" s="981"/>
      <c r="G106" s="981"/>
      <c r="I106" s="276"/>
      <c r="J106" s="281"/>
    </row>
    <row r="107" spans="2:10" ht="15.75" x14ac:dyDescent="0.25">
      <c r="B107" s="985" t="str">
        <f>Evaluation!C50</f>
        <v>3.3. Monitoring and Auditing</v>
      </c>
      <c r="C107" s="985"/>
      <c r="D107" s="985"/>
      <c r="E107" s="985"/>
      <c r="F107" s="986" t="str">
        <f>IF(Evaluation!N50="",tech!$A$18,_xlfn.CONCAT(Evaluation!N50," of ",Evaluation!N50+IF(Evaluation!G50="",0,Evaluation!G50)))</f>
        <v>6 of 6</v>
      </c>
      <c r="G107" s="986"/>
      <c r="H107" s="226"/>
      <c r="I107" s="278"/>
      <c r="J107" s="283">
        <f>IF(Evaluation!G50="",0,Evaluation!G50)</f>
        <v>0</v>
      </c>
    </row>
    <row r="108" spans="2:10" ht="3.75" customHeight="1" x14ac:dyDescent="0.25">
      <c r="F108" s="981"/>
      <c r="G108" s="981"/>
      <c r="I108" s="276"/>
      <c r="J108" s="281"/>
    </row>
    <row r="109" spans="2:10" ht="15.75" x14ac:dyDescent="0.25">
      <c r="B109" s="985" t="str">
        <f>Evaluation!C52</f>
        <v>3.4. Automation</v>
      </c>
      <c r="C109" s="985"/>
      <c r="D109" s="985"/>
      <c r="E109" s="985"/>
      <c r="F109" s="986" t="str">
        <f>IF(Evaluation!N52="",tech!$A$18,_xlfn.CONCAT(Evaluation!N52," of ",Evaluation!N52+IF(Evaluation!G52="",0,Evaluation!G52)))</f>
        <v>3 of 3</v>
      </c>
      <c r="G109" s="986"/>
      <c r="H109" s="226"/>
      <c r="I109" s="278"/>
      <c r="J109" s="283">
        <f>IF(Evaluation!G52="",0,Evaluation!G52)</f>
        <v>0</v>
      </c>
    </row>
    <row r="110" spans="2:10" ht="3.75" customHeight="1" x14ac:dyDescent="0.25">
      <c r="F110" s="981"/>
      <c r="G110" s="981"/>
      <c r="I110" s="276"/>
      <c r="J110" s="281"/>
    </row>
    <row r="111" spans="2:10" ht="15.75" x14ac:dyDescent="0.25">
      <c r="B111" s="984" t="str">
        <f>Evaluation!C54</f>
        <v>4.1. Sourcing</v>
      </c>
      <c r="C111" s="984"/>
      <c r="D111" s="984"/>
      <c r="E111" s="984"/>
      <c r="F111" s="987" t="str">
        <f>IF(Evaluation!N54="",tech!$A$18,_xlfn.CONCAT(Evaluation!N54," of ",Evaluation!N54+IF(Evaluation!G54="",0,Evaluation!G54)))</f>
        <v>4 of 4</v>
      </c>
      <c r="G111" s="987"/>
      <c r="H111" s="227"/>
      <c r="I111" s="279"/>
      <c r="J111" s="284">
        <f>IF(Evaluation!G54="",0,Evaluation!G54)</f>
        <v>0</v>
      </c>
    </row>
    <row r="112" spans="2:10" ht="3.75" customHeight="1" x14ac:dyDescent="0.25">
      <c r="F112" s="981"/>
      <c r="G112" s="981"/>
      <c r="I112" s="276"/>
      <c r="J112" s="281"/>
    </row>
    <row r="113" spans="2:10" ht="15.75" x14ac:dyDescent="0.25">
      <c r="B113" s="984" t="str">
        <f>Evaluation!C56</f>
        <v>4.2. Knowledge and Training</v>
      </c>
      <c r="C113" s="984"/>
      <c r="D113" s="984"/>
      <c r="E113" s="984"/>
      <c r="F113" s="987" t="str">
        <f>IF(Evaluation!N56="",tech!$A$18,_xlfn.CONCAT(Evaluation!N56," of ",Evaluation!N56+IF(Evaluation!G56="",0,Evaluation!G56)))</f>
        <v>5 of 5</v>
      </c>
      <c r="G113" s="987"/>
      <c r="H113" s="227"/>
      <c r="I113" s="279"/>
      <c r="J113" s="284">
        <f>IF(Evaluation!G56="",0,Evaluation!G56)</f>
        <v>0</v>
      </c>
    </row>
    <row r="114" spans="2:10" ht="3.75" customHeight="1" x14ac:dyDescent="0.25">
      <c r="F114" s="981"/>
      <c r="G114" s="981"/>
      <c r="I114" s="276"/>
      <c r="J114" s="281"/>
    </row>
    <row r="115" spans="2:10" ht="15.75" x14ac:dyDescent="0.25">
      <c r="B115" s="984" t="str">
        <f>Evaluation!C58</f>
        <v>4.3. Awareness</v>
      </c>
      <c r="C115" s="984"/>
      <c r="D115" s="984"/>
      <c r="E115" s="984"/>
      <c r="F115" s="987" t="str">
        <f>IF(Evaluation!N58="",tech!$A$18,_xlfn.CONCAT(Evaluation!N58," of ",Evaluation!N58+IF(Evaluation!G58="",0,Evaluation!G58)))</f>
        <v>4 of 4</v>
      </c>
      <c r="G115" s="987"/>
      <c r="H115" s="227"/>
      <c r="I115" s="279"/>
      <c r="J115" s="284">
        <f>IF(Evaluation!G58="",0,Evaluation!G58)</f>
        <v>0</v>
      </c>
    </row>
    <row r="130" spans="2:10" ht="15.75" thickBot="1" x14ac:dyDescent="0.3"/>
    <row r="131" spans="2:10" ht="21.75" thickBot="1" x14ac:dyDescent="0.4">
      <c r="B131" s="1005" t="s">
        <v>337</v>
      </c>
      <c r="C131" s="1006"/>
      <c r="D131" s="1006"/>
      <c r="E131" s="1006"/>
      <c r="F131" s="1006"/>
      <c r="G131" s="1006"/>
      <c r="H131" s="1006"/>
      <c r="I131" s="1006"/>
      <c r="J131" s="1007"/>
    </row>
    <row r="179" spans="2:10" ht="15.75" thickBot="1" x14ac:dyDescent="0.3"/>
    <row r="180" spans="2:10" ht="21.75" thickBot="1" x14ac:dyDescent="0.4">
      <c r="B180" s="1005" t="s">
        <v>410</v>
      </c>
      <c r="C180" s="1006"/>
      <c r="D180" s="1006"/>
      <c r="E180" s="1006"/>
      <c r="F180" s="1006"/>
      <c r="G180" s="1006"/>
      <c r="H180" s="1006"/>
      <c r="I180" s="1006"/>
      <c r="J180" s="1007"/>
    </row>
    <row r="181" spans="2:10" ht="15.75" thickBot="1" x14ac:dyDescent="0.3"/>
    <row r="182" spans="2:10" ht="22.5" customHeight="1" thickBot="1" x14ac:dyDescent="0.3">
      <c r="B182" s="292" t="str">
        <f>LEFT(Evaluation!C19,2)</f>
        <v>1.</v>
      </c>
      <c r="C182" s="1020" t="str">
        <f>_xlfn.TEXTAFTER(Evaluation!C19," ")</f>
        <v>Governance</v>
      </c>
      <c r="D182" s="1020"/>
      <c r="E182" s="1020"/>
      <c r="F182" s="1020"/>
      <c r="G182" s="1020"/>
      <c r="H182" s="293"/>
      <c r="I182" s="293"/>
      <c r="J182" s="294"/>
    </row>
    <row r="183" spans="2:10" ht="22.5" customHeight="1" x14ac:dyDescent="0.25">
      <c r="B183" s="295" t="str">
        <f>LEFT(Evaluation!C30,4)</f>
        <v>1.1.</v>
      </c>
      <c r="C183" s="1021" t="str">
        <f>_xlfn.TEXTAFTER(Evaluation!C30," ")</f>
        <v>Strategy and vision</v>
      </c>
      <c r="D183" s="1021"/>
      <c r="E183" s="1021"/>
      <c r="F183" s="1021"/>
      <c r="G183" s="1021"/>
      <c r="H183" s="296"/>
      <c r="I183" s="296"/>
      <c r="J183" s="297"/>
    </row>
    <row r="184" spans="2:10" ht="30" customHeight="1" x14ac:dyDescent="0.25">
      <c r="B184" s="290" t="str">
        <f>tech!B140</f>
        <v>1.1.1.</v>
      </c>
      <c r="C184" s="512" t="str">
        <f>tech!C140</f>
        <v>Organizational sponsor and support</v>
      </c>
      <c r="D184" s="512"/>
      <c r="E184" s="512"/>
      <c r="F184" s="512"/>
      <c r="G184" s="512"/>
      <c r="H184" s="1024" t="str">
        <f>INDEX(tech!$A$140:$A$225,MATCH(B184,tech!$B$140:$B$225,0))</f>
        <v>Initial</v>
      </c>
      <c r="I184" s="1024"/>
      <c r="J184" s="1025"/>
    </row>
    <row r="185" spans="2:10" ht="30" customHeight="1" x14ac:dyDescent="0.25">
      <c r="B185" s="300" t="str">
        <f>tech!B141</f>
        <v>1.1.2.</v>
      </c>
      <c r="C185" s="1030" t="str">
        <f>tech!C141</f>
        <v>Formal assignment of responsible leadership</v>
      </c>
      <c r="D185" s="1030"/>
      <c r="E185" s="1030"/>
      <c r="F185" s="1030"/>
      <c r="G185" s="1030"/>
      <c r="H185" s="1026" t="str">
        <f>INDEX(tech!$A$140:$A$225,MATCH(B185,tech!$B$140:$B$225,0))</f>
        <v>Initial</v>
      </c>
      <c r="I185" s="1026"/>
      <c r="J185" s="1027"/>
    </row>
    <row r="186" spans="2:10" ht="30" customHeight="1" x14ac:dyDescent="0.25">
      <c r="B186" s="290" t="str">
        <f>tech!B142</f>
        <v>1.1.3.</v>
      </c>
      <c r="C186" s="512" t="str">
        <f>tech!C142</f>
        <v>Scope and business drivers for PKI</v>
      </c>
      <c r="D186" s="512"/>
      <c r="E186" s="512"/>
      <c r="F186" s="512"/>
      <c r="G186" s="512"/>
      <c r="H186" s="1024" t="str">
        <f>INDEX(tech!$A$140:$A$225,MATCH(B186,tech!$B$140:$B$225,0))</f>
        <v>Initial</v>
      </c>
      <c r="I186" s="1024"/>
      <c r="J186" s="1025"/>
    </row>
    <row r="187" spans="2:10" ht="30" customHeight="1" thickBot="1" x14ac:dyDescent="0.3">
      <c r="B187" s="301" t="str">
        <f>tech!B143</f>
        <v>1.1.4.</v>
      </c>
      <c r="C187" s="1031" t="str">
        <f>tech!C143</f>
        <v>Architecture and design of the PKI</v>
      </c>
      <c r="D187" s="1031"/>
      <c r="E187" s="1031"/>
      <c r="F187" s="1031"/>
      <c r="G187" s="1031"/>
      <c r="H187" s="1018" t="str">
        <f>INDEX(tech!$A$140:$A$225,MATCH(B187,tech!$B$140:$B$225,0))</f>
        <v>Initial</v>
      </c>
      <c r="I187" s="1018"/>
      <c r="J187" s="1019"/>
    </row>
    <row r="188" spans="2:10" ht="30" hidden="1" customHeight="1" x14ac:dyDescent="0.25">
      <c r="B188" s="256" t="str">
        <f>tech!B144</f>
        <v>1.1.5.</v>
      </c>
      <c r="C188" s="512" t="str">
        <f>tech!C144</f>
        <v/>
      </c>
      <c r="D188" s="512"/>
      <c r="E188" s="512"/>
      <c r="F188" s="512"/>
      <c r="G188" s="512"/>
      <c r="H188" s="1024" t="str">
        <f>INDEX(tech!$A$140:$A$225,MATCH(B188,tech!$B$140:$B$225,0))</f>
        <v/>
      </c>
      <c r="I188" s="1024"/>
      <c r="J188" s="1024"/>
    </row>
    <row r="189" spans="2:10" ht="30" hidden="1" customHeight="1" x14ac:dyDescent="0.25">
      <c r="B189" s="256" t="str">
        <f>tech!B145</f>
        <v>1.1.6.</v>
      </c>
      <c r="C189" s="512" t="str">
        <f>tech!C145</f>
        <v/>
      </c>
      <c r="D189" s="512"/>
      <c r="E189" s="512"/>
      <c r="F189" s="512"/>
      <c r="G189" s="512"/>
      <c r="H189" s="1024" t="str">
        <f>INDEX(tech!$A$140:$A$225,MATCH(B189,tech!$B$140:$B$225,0))</f>
        <v/>
      </c>
      <c r="I189" s="1024"/>
      <c r="J189" s="1024"/>
    </row>
    <row r="190" spans="2:10" ht="22.5" customHeight="1" x14ac:dyDescent="0.25">
      <c r="B190" s="295" t="str">
        <f>LEFT(Evaluation!C32,4)</f>
        <v>1.2.</v>
      </c>
      <c r="C190" s="1021" t="str">
        <f>_xlfn.TEXTAFTER(Evaluation!C32," ")</f>
        <v>Policies and documentation</v>
      </c>
      <c r="D190" s="1021"/>
      <c r="E190" s="1021"/>
      <c r="F190" s="1021"/>
      <c r="G190" s="1021"/>
      <c r="H190" s="298"/>
      <c r="I190" s="298"/>
      <c r="J190" s="299"/>
    </row>
    <row r="191" spans="2:10" ht="30" customHeight="1" x14ac:dyDescent="0.25">
      <c r="B191" s="290" t="str">
        <f>tech!B146</f>
        <v>1.2.1.</v>
      </c>
      <c r="C191" s="512" t="str">
        <f>tech!C146</f>
        <v>The scope of policies is defined and documented</v>
      </c>
      <c r="D191" s="512"/>
      <c r="E191" s="512"/>
      <c r="F191" s="512"/>
      <c r="G191" s="512"/>
      <c r="H191" s="1024" t="str">
        <f>INDEX(tech!$A$140:$A$225,MATCH(B191,tech!$B$140:$B$225,0))</f>
        <v>Basic</v>
      </c>
      <c r="I191" s="1024"/>
      <c r="J191" s="1025"/>
    </row>
    <row r="192" spans="2:10" ht="30" customHeight="1" x14ac:dyDescent="0.25">
      <c r="B192" s="300" t="str">
        <f>tech!B147</f>
        <v>1.2.2.</v>
      </c>
      <c r="C192" s="1030" t="str">
        <f>tech!C147</f>
        <v>Certificate Policy is documented and published</v>
      </c>
      <c r="D192" s="1030"/>
      <c r="E192" s="1030"/>
      <c r="F192" s="1030"/>
      <c r="G192" s="1030"/>
      <c r="H192" s="1026" t="str">
        <f>INDEX(tech!$A$140:$A$225,MATCH(B192,tech!$B$140:$B$225,0))</f>
        <v>Basic</v>
      </c>
      <c r="I192" s="1026"/>
      <c r="J192" s="1027"/>
    </row>
    <row r="193" spans="2:10" ht="30" customHeight="1" x14ac:dyDescent="0.25">
      <c r="B193" s="290" t="str">
        <f>tech!B148</f>
        <v>1.2.3.</v>
      </c>
      <c r="C193" s="512" t="str">
        <f>tech!C148</f>
        <v>Certification Practice Statement is documented and published</v>
      </c>
      <c r="D193" s="512"/>
      <c r="E193" s="512"/>
      <c r="F193" s="512"/>
      <c r="G193" s="512"/>
      <c r="H193" s="1024" t="str">
        <f>INDEX(tech!$A$140:$A$225,MATCH(B193,tech!$B$140:$B$225,0))</f>
        <v>Basic</v>
      </c>
      <c r="I193" s="1024"/>
      <c r="J193" s="1025"/>
    </row>
    <row r="194" spans="2:10" ht="30" customHeight="1" x14ac:dyDescent="0.25">
      <c r="B194" s="300" t="str">
        <f>tech!B149</f>
        <v>1.2.4.</v>
      </c>
      <c r="C194" s="1030" t="str">
        <f>tech!C149</f>
        <v>Disclosure statement is documented and published</v>
      </c>
      <c r="D194" s="1030"/>
      <c r="E194" s="1030"/>
      <c r="F194" s="1030"/>
      <c r="G194" s="1030"/>
      <c r="H194" s="1026" t="str">
        <f>INDEX(tech!$A$140:$A$225,MATCH(B194,tech!$B$140:$B$225,0))</f>
        <v>Basic</v>
      </c>
      <c r="I194" s="1026"/>
      <c r="J194" s="1027"/>
    </row>
    <row r="195" spans="2:10" ht="30" customHeight="1" thickBot="1" x14ac:dyDescent="0.3">
      <c r="B195" s="291" t="str">
        <f>tech!B150</f>
        <v>1.2.5.</v>
      </c>
      <c r="C195" s="1032" t="str">
        <f>tech!C150</f>
        <v>Policies are periodically reviewed and updated</v>
      </c>
      <c r="D195" s="1032"/>
      <c r="E195" s="1032"/>
      <c r="F195" s="1032"/>
      <c r="G195" s="1032"/>
      <c r="H195" s="1028" t="str">
        <f>INDEX(tech!$A$140:$A$225,MATCH(B195,tech!$B$140:$B$225,0))</f>
        <v>Basic</v>
      </c>
      <c r="I195" s="1028"/>
      <c r="J195" s="1029"/>
    </row>
    <row r="196" spans="2:10" ht="30" hidden="1" customHeight="1" x14ac:dyDescent="0.25">
      <c r="B196" s="256" t="str">
        <f>tech!B151</f>
        <v>1.2.6.</v>
      </c>
      <c r="C196" s="512" t="str">
        <f>tech!C151</f>
        <v/>
      </c>
      <c r="D196" s="512"/>
      <c r="E196" s="512"/>
      <c r="F196" s="512"/>
      <c r="G196" s="512"/>
      <c r="H196" s="1024" t="str">
        <f>INDEX(tech!$A$140:$A$225,MATCH(B196,tech!$B$140:$B$225,0))</f>
        <v/>
      </c>
      <c r="I196" s="1024"/>
      <c r="J196" s="1024"/>
    </row>
    <row r="197" spans="2:10" ht="30" customHeight="1" x14ac:dyDescent="0.25">
      <c r="B197" s="295" t="str">
        <f>LEFT(Evaluation!C34,4)</f>
        <v>1.3.</v>
      </c>
      <c r="C197" s="1021" t="str">
        <f>_xlfn.TEXTAFTER(Evaluation!C34," ")</f>
        <v>Compliance</v>
      </c>
      <c r="D197" s="1021"/>
      <c r="E197" s="1021"/>
      <c r="F197" s="1021"/>
      <c r="G197" s="1021"/>
      <c r="H197" s="298"/>
      <c r="I197" s="298"/>
      <c r="J197" s="299"/>
    </row>
    <row r="198" spans="2:10" ht="30" customHeight="1" x14ac:dyDescent="0.25">
      <c r="B198" s="290" t="str">
        <f>tech!B152</f>
        <v>1.3.1.</v>
      </c>
      <c r="C198" s="512" t="str">
        <f>tech!C152</f>
        <v>Compliance policies are defined, implemented, and communicated</v>
      </c>
      <c r="D198" s="512"/>
      <c r="E198" s="512"/>
      <c r="F198" s="512"/>
      <c r="G198" s="512"/>
      <c r="H198" s="1024" t="str">
        <f>INDEX(tech!$A$140:$A$225,MATCH(B198,tech!$B$140:$B$225,0))</f>
        <v>Basic</v>
      </c>
      <c r="I198" s="1024"/>
      <c r="J198" s="1025"/>
    </row>
    <row r="199" spans="2:10" ht="30" customHeight="1" x14ac:dyDescent="0.25">
      <c r="B199" s="300" t="str">
        <f>tech!B153</f>
        <v>1.3.2.</v>
      </c>
      <c r="C199" s="1030" t="str">
        <f>tech!C153</f>
        <v>A program to monitor compliance with the policies is established</v>
      </c>
      <c r="D199" s="1030"/>
      <c r="E199" s="1030"/>
      <c r="F199" s="1030"/>
      <c r="G199" s="1030"/>
      <c r="H199" s="1026" t="str">
        <f>INDEX(tech!$A$140:$A$225,MATCH(B199,tech!$B$140:$B$225,0))</f>
        <v>Basic</v>
      </c>
      <c r="I199" s="1026"/>
      <c r="J199" s="1027"/>
    </row>
    <row r="200" spans="2:10" ht="30" customHeight="1" x14ac:dyDescent="0.25">
      <c r="B200" s="290" t="str">
        <f>tech!B154</f>
        <v>1.3.3.</v>
      </c>
      <c r="C200" s="512" t="str">
        <f>tech!C154</f>
        <v>Responsibilities for the compliance are formally defined and assigned</v>
      </c>
      <c r="D200" s="512"/>
      <c r="E200" s="512"/>
      <c r="F200" s="512"/>
      <c r="G200" s="512"/>
      <c r="H200" s="1024" t="str">
        <f>INDEX(tech!$A$140:$A$225,MATCH(B200,tech!$B$140:$B$225,0))</f>
        <v>Basic</v>
      </c>
      <c r="I200" s="1024"/>
      <c r="J200" s="1025"/>
    </row>
    <row r="201" spans="2:10" ht="30" customHeight="1" thickBot="1" x14ac:dyDescent="0.3">
      <c r="B201" s="301" t="str">
        <f>tech!B155</f>
        <v>1.3.4.</v>
      </c>
      <c r="C201" s="1031" t="str">
        <f>tech!C155</f>
        <v>List of relevant laws, regulations, and standards, exist and is maintained</v>
      </c>
      <c r="D201" s="1031"/>
      <c r="E201" s="1031"/>
      <c r="F201" s="1031"/>
      <c r="G201" s="1031"/>
      <c r="H201" s="1018" t="str">
        <f>INDEX(tech!$A$140:$A$225,MATCH(B201,tech!$B$140:$B$225,0))</f>
        <v>Basic</v>
      </c>
      <c r="I201" s="1018"/>
      <c r="J201" s="1019"/>
    </row>
    <row r="202" spans="2:10" ht="30" hidden="1" customHeight="1" x14ac:dyDescent="0.25">
      <c r="B202" s="256" t="str">
        <f>tech!B156</f>
        <v>1.3.5.</v>
      </c>
      <c r="C202" s="512" t="str">
        <f>tech!C156</f>
        <v/>
      </c>
      <c r="D202" s="512"/>
      <c r="E202" s="512"/>
      <c r="F202" s="512"/>
      <c r="G202" s="512"/>
      <c r="H202" s="1024" t="str">
        <f>INDEX(tech!$A$140:$A$225,MATCH(B202,tech!$B$140:$B$225,0))</f>
        <v/>
      </c>
      <c r="I202" s="1024"/>
      <c r="J202" s="1024"/>
    </row>
    <row r="203" spans="2:10" ht="30" hidden="1" customHeight="1" x14ac:dyDescent="0.25">
      <c r="B203" s="256" t="str">
        <f>tech!B157</f>
        <v>1.3.6.</v>
      </c>
      <c r="C203" s="512" t="str">
        <f>tech!C157</f>
        <v/>
      </c>
      <c r="D203" s="512"/>
      <c r="E203" s="512"/>
      <c r="F203" s="512"/>
      <c r="G203" s="512"/>
      <c r="H203" s="1024" t="str">
        <f>INDEX(tech!$A$140:$A$225,MATCH(B203,tech!$B$140:$B$225,0))</f>
        <v/>
      </c>
      <c r="I203" s="1024"/>
      <c r="J203" s="1024"/>
    </row>
    <row r="204" spans="2:10" ht="30" customHeight="1" x14ac:dyDescent="0.25">
      <c r="B204" s="295" t="str">
        <f>LEFT(Evaluation!C36,4)</f>
        <v>1.4.</v>
      </c>
      <c r="C204" s="1021" t="str">
        <f>_xlfn.TEXTAFTER(Evaluation!C36," ")</f>
        <v>Processes and procedures</v>
      </c>
      <c r="D204" s="1021"/>
      <c r="E204" s="1021"/>
      <c r="F204" s="1021"/>
      <c r="G204" s="1021"/>
      <c r="H204" s="298"/>
      <c r="I204" s="298"/>
      <c r="J204" s="299"/>
    </row>
    <row r="205" spans="2:10" ht="30" customHeight="1" x14ac:dyDescent="0.25">
      <c r="B205" s="290" t="str">
        <f>tech!B158</f>
        <v>1.4.1.</v>
      </c>
      <c r="C205" s="512" t="str">
        <f>tech!C158</f>
        <v>Scope of processes and procedure is aligned with policies</v>
      </c>
      <c r="D205" s="512"/>
      <c r="E205" s="512"/>
      <c r="F205" s="512"/>
      <c r="G205" s="512"/>
      <c r="H205" s="1024" t="str">
        <f>INDEX(tech!$A$140:$A$225,MATCH(B205,tech!$B$140:$B$225,0))</f>
        <v>Advanced</v>
      </c>
      <c r="I205" s="1024"/>
      <c r="J205" s="1025"/>
    </row>
    <row r="206" spans="2:10" ht="30" customHeight="1" x14ac:dyDescent="0.25">
      <c r="B206" s="300" t="str">
        <f>tech!B159</f>
        <v>1.4.2.</v>
      </c>
      <c r="C206" s="1030" t="str">
        <f>tech!C159</f>
        <v>Processes and procedures are formally documented and followed</v>
      </c>
      <c r="D206" s="1030"/>
      <c r="E206" s="1030"/>
      <c r="F206" s="1030"/>
      <c r="G206" s="1030"/>
      <c r="H206" s="1026" t="str">
        <f>INDEX(tech!$A$140:$A$225,MATCH(B206,tech!$B$140:$B$225,0))</f>
        <v>Advanced</v>
      </c>
      <c r="I206" s="1026"/>
      <c r="J206" s="1027"/>
    </row>
    <row r="207" spans="2:10" ht="30" customHeight="1" x14ac:dyDescent="0.25">
      <c r="B207" s="290" t="str">
        <f>tech!B160</f>
        <v>1.4.3.</v>
      </c>
      <c r="C207" s="512" t="str">
        <f>tech!C160</f>
        <v>Recurring activities are executed on time</v>
      </c>
      <c r="D207" s="512"/>
      <c r="E207" s="512"/>
      <c r="F207" s="512"/>
      <c r="G207" s="512"/>
      <c r="H207" s="1024" t="str">
        <f>INDEX(tech!$A$140:$A$225,MATCH(B207,tech!$B$140:$B$225,0))</f>
        <v>Optimized</v>
      </c>
      <c r="I207" s="1024"/>
      <c r="J207" s="1025"/>
    </row>
    <row r="208" spans="2:10" ht="30" customHeight="1" x14ac:dyDescent="0.25">
      <c r="B208" s="300" t="str">
        <f>tech!B161</f>
        <v>1.4.4.</v>
      </c>
      <c r="C208" s="1030" t="str">
        <f>tech!C161</f>
        <v>Evidence from procedures is collected and maintained</v>
      </c>
      <c r="D208" s="1030"/>
      <c r="E208" s="1030"/>
      <c r="F208" s="1030"/>
      <c r="G208" s="1030"/>
      <c r="H208" s="1026" t="str">
        <f>INDEX(tech!$A$140:$A$225,MATCH(B208,tech!$B$140:$B$225,0))</f>
        <v>Advanced</v>
      </c>
      <c r="I208" s="1026"/>
      <c r="J208" s="1027"/>
    </row>
    <row r="209" spans="2:10" ht="30" customHeight="1" thickBot="1" x14ac:dyDescent="0.3">
      <c r="B209" s="291" t="str">
        <f>tech!B162</f>
        <v>1.4.5.</v>
      </c>
      <c r="C209" s="1032" t="str">
        <f>tech!C162</f>
        <v>Processes and procedures are reviewed and updated</v>
      </c>
      <c r="D209" s="1032"/>
      <c r="E209" s="1032"/>
      <c r="F209" s="1032"/>
      <c r="G209" s="1032"/>
      <c r="H209" s="1028" t="str">
        <f>INDEX(tech!$A$140:$A$225,MATCH(B209,tech!$B$140:$B$225,0))</f>
        <v>Managed</v>
      </c>
      <c r="I209" s="1028"/>
      <c r="J209" s="1029"/>
    </row>
    <row r="210" spans="2:10" ht="30" hidden="1" customHeight="1" x14ac:dyDescent="0.25">
      <c r="B210" s="256" t="str">
        <f>tech!B163</f>
        <v>1.4.6.</v>
      </c>
      <c r="C210" s="512" t="str">
        <f>tech!C163</f>
        <v/>
      </c>
      <c r="D210" s="512"/>
      <c r="E210" s="512"/>
      <c r="F210" s="512"/>
      <c r="G210" s="512"/>
      <c r="H210" s="1024" t="str">
        <f>INDEX(tech!$A$140:$A$225,MATCH(B210,tech!$B$140:$B$225,0))</f>
        <v/>
      </c>
      <c r="I210" s="1024"/>
      <c r="J210" s="1024"/>
    </row>
    <row r="211" spans="2:10" ht="30" customHeight="1" x14ac:dyDescent="0.25">
      <c r="B211" s="256"/>
      <c r="C211" s="259"/>
      <c r="D211" s="259"/>
      <c r="E211" s="259"/>
      <c r="F211" s="259"/>
      <c r="G211" s="259"/>
      <c r="H211" s="69"/>
      <c r="I211" s="69"/>
      <c r="J211" s="69"/>
    </row>
    <row r="212" spans="2:10" ht="15.75" thickBot="1" x14ac:dyDescent="0.3">
      <c r="B212" s="256"/>
      <c r="C212" s="259"/>
      <c r="D212" s="259"/>
      <c r="E212" s="259"/>
      <c r="F212" s="259"/>
      <c r="G212" s="259"/>
      <c r="H212" s="69"/>
      <c r="I212" s="69"/>
      <c r="J212" s="69"/>
    </row>
    <row r="213" spans="2:10" ht="30" customHeight="1" thickBot="1" x14ac:dyDescent="0.3">
      <c r="B213" s="302" t="str">
        <f>LEFT(Evaluation!C21,2)</f>
        <v>2.</v>
      </c>
      <c r="C213" s="1022" t="str">
        <f>_xlfn.TEXTAFTER(Evaluation!C21," ")</f>
        <v>Management</v>
      </c>
      <c r="D213" s="1022"/>
      <c r="E213" s="1022"/>
      <c r="F213" s="1022"/>
      <c r="G213" s="1022"/>
      <c r="H213" s="303"/>
      <c r="I213" s="303"/>
      <c r="J213" s="304"/>
    </row>
    <row r="214" spans="2:10" ht="30" customHeight="1" x14ac:dyDescent="0.25">
      <c r="B214" s="305" t="str">
        <f>LEFT(Evaluation!C38,4)</f>
        <v>2.1.</v>
      </c>
      <c r="C214" s="1023" t="str">
        <f>_xlfn.TEXTAFTER(Evaluation!C38," ")</f>
        <v>Key Management</v>
      </c>
      <c r="D214" s="1023"/>
      <c r="E214" s="1023"/>
      <c r="F214" s="1023"/>
      <c r="G214" s="1023"/>
      <c r="H214" s="306"/>
      <c r="I214" s="306"/>
      <c r="J214" s="307"/>
    </row>
    <row r="215" spans="2:10" ht="30" customHeight="1" x14ac:dyDescent="0.25">
      <c r="B215" s="290" t="str">
        <f>tech!B164</f>
        <v>2.1.1.</v>
      </c>
      <c r="C215" s="512" t="str">
        <f>tech!C164</f>
        <v>Key management roles and responsibilities are documented and formally assigned</v>
      </c>
      <c r="D215" s="512"/>
      <c r="E215" s="512"/>
      <c r="F215" s="512"/>
      <c r="G215" s="512"/>
      <c r="H215" s="1024" t="str">
        <f>INDEX(tech!$A$140:$A$225,MATCH(B215,tech!$B$140:$B$225,0))</f>
        <v>Advanced</v>
      </c>
      <c r="I215" s="1024"/>
      <c r="J215" s="1025"/>
    </row>
    <row r="216" spans="2:10" ht="30" customHeight="1" x14ac:dyDescent="0.25">
      <c r="B216" s="300" t="str">
        <f>tech!B165</f>
        <v>2.1.2.</v>
      </c>
      <c r="C216" s="1030" t="str">
        <f>tech!C165</f>
        <v>Inventory of cryptographic keys is documented and maintained</v>
      </c>
      <c r="D216" s="1030"/>
      <c r="E216" s="1030"/>
      <c r="F216" s="1030"/>
      <c r="G216" s="1030"/>
      <c r="H216" s="1026" t="str">
        <f>INDEX(tech!$A$140:$A$225,MATCH(B216,tech!$B$140:$B$225,0))</f>
        <v>Basic</v>
      </c>
      <c r="I216" s="1026"/>
      <c r="J216" s="1027"/>
    </row>
    <row r="217" spans="2:10" ht="30" customHeight="1" x14ac:dyDescent="0.25">
      <c r="B217" s="290" t="str">
        <f>tech!B166</f>
        <v>2.1.3.</v>
      </c>
      <c r="C217" s="512" t="str">
        <f>tech!C166</f>
        <v>Inventory of cryptographic devices is documented and maintained</v>
      </c>
      <c r="D217" s="512"/>
      <c r="E217" s="512"/>
      <c r="F217" s="512"/>
      <c r="G217" s="512"/>
      <c r="H217" s="1024" t="str">
        <f>INDEX(tech!$A$140:$A$225,MATCH(B217,tech!$B$140:$B$225,0))</f>
        <v>Managed</v>
      </c>
      <c r="I217" s="1024"/>
      <c r="J217" s="1025"/>
    </row>
    <row r="218" spans="2:10" ht="30" customHeight="1" x14ac:dyDescent="0.25">
      <c r="B218" s="300" t="str">
        <f>tech!B167</f>
        <v>2.1.4.</v>
      </c>
      <c r="C218" s="1030" t="str">
        <f>tech!C167</f>
        <v>Each cryptographic key is defined and has documented lifecycle procedures</v>
      </c>
      <c r="D218" s="1030"/>
      <c r="E218" s="1030"/>
      <c r="F218" s="1030"/>
      <c r="G218" s="1030"/>
      <c r="H218" s="1026" t="str">
        <f>INDEX(tech!$A$140:$A$225,MATCH(B218,tech!$B$140:$B$225,0))</f>
        <v>Managed</v>
      </c>
      <c r="I218" s="1026"/>
      <c r="J218" s="1027"/>
    </row>
    <row r="219" spans="2:10" ht="30" customHeight="1" x14ac:dyDescent="0.25">
      <c r="B219" s="290" t="str">
        <f>tech!B168</f>
        <v>2.1.5.</v>
      </c>
      <c r="C219" s="512" t="str">
        <f>tech!C168</f>
        <v>Cryptographic cipher suites and protocols are documented and maintained</v>
      </c>
      <c r="D219" s="512"/>
      <c r="E219" s="512"/>
      <c r="F219" s="512"/>
      <c r="G219" s="512"/>
      <c r="H219" s="1024" t="str">
        <f>INDEX(tech!$A$140:$A$225,MATCH(B219,tech!$B$140:$B$225,0))</f>
        <v>Basic</v>
      </c>
      <c r="I219" s="1024"/>
      <c r="J219" s="1025"/>
    </row>
    <row r="220" spans="2:10" ht="22.5" customHeight="1" thickBot="1" x14ac:dyDescent="0.3">
      <c r="B220" s="301" t="str">
        <f>tech!B169</f>
        <v>2.1.6.</v>
      </c>
      <c r="C220" s="1031" t="str">
        <f>tech!C169</f>
        <v>Key management is periodically reviewed and updated</v>
      </c>
      <c r="D220" s="1031"/>
      <c r="E220" s="1031"/>
      <c r="F220" s="1031"/>
      <c r="G220" s="1031"/>
      <c r="H220" s="1018" t="str">
        <f>INDEX(tech!$A$140:$A$225,MATCH(B220,tech!$B$140:$B$225,0))</f>
        <v>Managed</v>
      </c>
      <c r="I220" s="1018"/>
      <c r="J220" s="1019"/>
    </row>
    <row r="221" spans="2:10" ht="30" customHeight="1" x14ac:dyDescent="0.25">
      <c r="B221" s="305" t="str">
        <f>LEFT(Evaluation!C40,4)</f>
        <v>2.2.</v>
      </c>
      <c r="C221" s="1023" t="str">
        <f>_xlfn.TEXTAFTER(Evaluation!C40," ")</f>
        <v>Certificate Management</v>
      </c>
      <c r="D221" s="1023"/>
      <c r="E221" s="1023"/>
      <c r="F221" s="1023"/>
      <c r="G221" s="1023"/>
      <c r="H221" s="308"/>
      <c r="I221" s="308"/>
      <c r="J221" s="309"/>
    </row>
    <row r="222" spans="2:10" ht="22.5" customHeight="1" x14ac:dyDescent="0.25">
      <c r="B222" s="290" t="str">
        <f>tech!B170</f>
        <v>2.2.1.</v>
      </c>
      <c r="C222" s="512" t="str">
        <f>tech!C170</f>
        <v>Certificate profiles are documented</v>
      </c>
      <c r="D222" s="512"/>
      <c r="E222" s="512"/>
      <c r="F222" s="512"/>
      <c r="G222" s="512"/>
      <c r="H222" s="1024" t="str">
        <f>INDEX(tech!$A$140:$A$225,MATCH(B222,tech!$B$140:$B$225,0))</f>
        <v>Managed</v>
      </c>
      <c r="I222" s="1024"/>
      <c r="J222" s="1025"/>
    </row>
    <row r="223" spans="2:10" ht="22.5" customHeight="1" x14ac:dyDescent="0.25">
      <c r="B223" s="300" t="str">
        <f>tech!B171</f>
        <v>2.2.2.</v>
      </c>
      <c r="C223" s="1030" t="str">
        <f>tech!C171</f>
        <v>Certificate cipher suites are documented</v>
      </c>
      <c r="D223" s="1030"/>
      <c r="E223" s="1030"/>
      <c r="F223" s="1030"/>
      <c r="G223" s="1030"/>
      <c r="H223" s="1026" t="str">
        <f>INDEX(tech!$A$140:$A$225,MATCH(B223,tech!$B$140:$B$225,0))</f>
        <v>Optimized</v>
      </c>
      <c r="I223" s="1026"/>
      <c r="J223" s="1027"/>
    </row>
    <row r="224" spans="2:10" ht="22.5" customHeight="1" x14ac:dyDescent="0.25">
      <c r="B224" s="290" t="str">
        <f>tech!B172</f>
        <v>2.2.3.</v>
      </c>
      <c r="C224" s="512" t="str">
        <f>tech!C172</f>
        <v>Certificate lifecycle management is documented</v>
      </c>
      <c r="D224" s="512"/>
      <c r="E224" s="512"/>
      <c r="F224" s="512"/>
      <c r="G224" s="512"/>
      <c r="H224" s="1024" t="str">
        <f>INDEX(tech!$A$140:$A$225,MATCH(B224,tech!$B$140:$B$225,0))</f>
        <v>Basic</v>
      </c>
      <c r="I224" s="1024"/>
      <c r="J224" s="1025"/>
    </row>
    <row r="225" spans="2:10" ht="22.5" customHeight="1" x14ac:dyDescent="0.25">
      <c r="B225" s="300" t="str">
        <f>tech!B173</f>
        <v>2.2.4.</v>
      </c>
      <c r="C225" s="1030" t="str">
        <f>tech!C173</f>
        <v>Inventory of issued certificates is documented</v>
      </c>
      <c r="D225" s="1030"/>
      <c r="E225" s="1030"/>
      <c r="F225" s="1030"/>
      <c r="G225" s="1030"/>
      <c r="H225" s="1026" t="str">
        <f>INDEX(tech!$A$140:$A$225,MATCH(B225,tech!$B$140:$B$225,0))</f>
        <v>Initial</v>
      </c>
      <c r="I225" s="1026"/>
      <c r="J225" s="1027"/>
    </row>
    <row r="226" spans="2:10" ht="22.5" customHeight="1" x14ac:dyDescent="0.25">
      <c r="B226" s="290" t="str">
        <f>tech!B174</f>
        <v>2.2.5.</v>
      </c>
      <c r="C226" s="512" t="str">
        <f>tech!C174</f>
        <v>Certificate discovery process is documented</v>
      </c>
      <c r="D226" s="512"/>
      <c r="E226" s="512"/>
      <c r="F226" s="512"/>
      <c r="G226" s="512"/>
      <c r="H226" s="1024" t="str">
        <f>INDEX(tech!$A$140:$A$225,MATCH(B226,tech!$B$140:$B$225,0))</f>
        <v>Basic</v>
      </c>
      <c r="I226" s="1024"/>
      <c r="J226" s="1025"/>
    </row>
    <row r="227" spans="2:10" ht="22.5" customHeight="1" x14ac:dyDescent="0.25">
      <c r="B227" s="300" t="str">
        <f>tech!B175</f>
        <v>2.2.6.</v>
      </c>
      <c r="C227" s="1030" t="str">
        <f>tech!C175</f>
        <v>Certificate management is periodically reviewed and updated</v>
      </c>
      <c r="D227" s="1030"/>
      <c r="E227" s="1030"/>
      <c r="F227" s="1030"/>
      <c r="G227" s="1030"/>
      <c r="H227" s="1026" t="str">
        <f>INDEX(tech!$A$140:$A$225,MATCH(B227,tech!$B$140:$B$225,0))</f>
        <v>Advanced</v>
      </c>
      <c r="I227" s="1026"/>
      <c r="J227" s="1027"/>
    </row>
    <row r="228" spans="2:10" ht="22.5" customHeight="1" thickBot="1" x14ac:dyDescent="0.3">
      <c r="B228" s="291" t="str">
        <f>tech!B176</f>
        <v>2.2.7.</v>
      </c>
      <c r="C228" s="1032" t="str">
        <f>tech!C176</f>
        <v>Organizational PKI governance</v>
      </c>
      <c r="D228" s="1032"/>
      <c r="E228" s="1032"/>
      <c r="F228" s="1032"/>
      <c r="G228" s="1032"/>
      <c r="H228" s="1028" t="str">
        <f>INDEX(tech!$A$140:$A$225,MATCH(B228,tech!$B$140:$B$225,0))</f>
        <v>Basic</v>
      </c>
      <c r="I228" s="1028"/>
      <c r="J228" s="1029"/>
    </row>
    <row r="229" spans="2:10" ht="30" customHeight="1" x14ac:dyDescent="0.25">
      <c r="B229" s="305" t="str">
        <f>LEFT(Evaluation!C42,4)</f>
        <v>2.3.</v>
      </c>
      <c r="C229" s="1023" t="str">
        <f>_xlfn.TEXTAFTER(Evaluation!C42," ")</f>
        <v>Infrastructure Management</v>
      </c>
      <c r="D229" s="1023"/>
      <c r="E229" s="1023"/>
      <c r="F229" s="1023"/>
      <c r="G229" s="1023"/>
      <c r="H229" s="308"/>
      <c r="I229" s="308"/>
      <c r="J229" s="309"/>
    </row>
    <row r="230" spans="2:10" ht="22.5" customHeight="1" x14ac:dyDescent="0.25">
      <c r="B230" s="290" t="str">
        <f>tech!B177</f>
        <v>2.3.1.</v>
      </c>
      <c r="C230" s="512" t="str">
        <f>tech!C177</f>
        <v>Network and deployment infrastructure is documented</v>
      </c>
      <c r="D230" s="512"/>
      <c r="E230" s="512"/>
      <c r="F230" s="512"/>
      <c r="G230" s="512"/>
      <c r="H230" s="1024" t="str">
        <f>INDEX(tech!$A$140:$A$225,MATCH(B230,tech!$B$140:$B$225,0))</f>
        <v>Managed</v>
      </c>
      <c r="I230" s="1024"/>
      <c r="J230" s="1025"/>
    </row>
    <row r="231" spans="2:10" ht="22.5" customHeight="1" x14ac:dyDescent="0.25">
      <c r="B231" s="300" t="str">
        <f>tech!B178</f>
        <v>2.3.2.</v>
      </c>
      <c r="C231" s="1030" t="str">
        <f>tech!C178</f>
        <v>Separation and segmentation principles are applied</v>
      </c>
      <c r="D231" s="1030"/>
      <c r="E231" s="1030"/>
      <c r="F231" s="1030"/>
      <c r="G231" s="1030"/>
      <c r="H231" s="1026" t="str">
        <f>INDEX(tech!$A$140:$A$225,MATCH(B231,tech!$B$140:$B$225,0))</f>
        <v>Basic</v>
      </c>
      <c r="I231" s="1026"/>
      <c r="J231" s="1027"/>
    </row>
    <row r="232" spans="2:10" ht="30" customHeight="1" x14ac:dyDescent="0.25">
      <c r="B232" s="290" t="str">
        <f>tech!B179</f>
        <v>2.3.3.</v>
      </c>
      <c r="C232" s="512" t="str">
        <f>tech!C179</f>
        <v>Network vulnerability management is implemented and maintained</v>
      </c>
      <c r="D232" s="512"/>
      <c r="E232" s="512"/>
      <c r="F232" s="512"/>
      <c r="G232" s="512"/>
      <c r="H232" s="1024" t="str">
        <f>INDEX(tech!$A$140:$A$225,MATCH(B232,tech!$B$140:$B$225,0))</f>
        <v>Advanced</v>
      </c>
      <c r="I232" s="1024"/>
      <c r="J232" s="1025"/>
    </row>
    <row r="233" spans="2:10" ht="22.5" customHeight="1" x14ac:dyDescent="0.25">
      <c r="B233" s="300" t="str">
        <f>tech!B180</f>
        <v>2.3.4.</v>
      </c>
      <c r="C233" s="1030" t="str">
        <f>tech!C180</f>
        <v>Infrastructure recovery objectives controls</v>
      </c>
      <c r="D233" s="1030"/>
      <c r="E233" s="1030"/>
      <c r="F233" s="1030"/>
      <c r="G233" s="1030"/>
      <c r="H233" s="1026" t="str">
        <f>INDEX(tech!$A$140:$A$225,MATCH(B233,tech!$B$140:$B$225,0))</f>
        <v>Basic</v>
      </c>
      <c r="I233" s="1026"/>
      <c r="J233" s="1027"/>
    </row>
    <row r="234" spans="2:10" ht="22.5" customHeight="1" thickBot="1" x14ac:dyDescent="0.3">
      <c r="B234" s="291" t="str">
        <f>tech!B181</f>
        <v>2.3.5.</v>
      </c>
      <c r="C234" s="1032" t="str">
        <f>tech!C181</f>
        <v>Infrastructure activities are periodically reviewed</v>
      </c>
      <c r="D234" s="1032"/>
      <c r="E234" s="1032"/>
      <c r="F234" s="1032"/>
      <c r="G234" s="1032"/>
      <c r="H234" s="1028" t="str">
        <f>INDEX(tech!$A$140:$A$225,MATCH(B234,tech!$B$140:$B$225,0))</f>
        <v>Managed</v>
      </c>
      <c r="I234" s="1028"/>
      <c r="J234" s="1029"/>
    </row>
    <row r="235" spans="2:10" ht="30" hidden="1" customHeight="1" x14ac:dyDescent="0.25">
      <c r="B235" s="256" t="str">
        <f>tech!B182</f>
        <v>2.3.6.</v>
      </c>
      <c r="C235" s="512" t="str">
        <f>tech!C182</f>
        <v/>
      </c>
      <c r="D235" s="512"/>
      <c r="E235" s="512"/>
      <c r="F235" s="512"/>
      <c r="G235" s="512"/>
      <c r="H235" s="1024" t="str">
        <f>INDEX(tech!$A$140:$A$225,MATCH(B235,tech!$B$140:$B$225,0))</f>
        <v/>
      </c>
      <c r="I235" s="1024"/>
      <c r="J235" s="1024"/>
    </row>
    <row r="236" spans="2:10" ht="30" customHeight="1" x14ac:dyDescent="0.25">
      <c r="B236" s="305" t="str">
        <f>LEFT(Evaluation!C44,4)</f>
        <v>2.4.</v>
      </c>
      <c r="C236" s="1023" t="str">
        <f>_xlfn.TEXTAFTER(Evaluation!C44," ")</f>
        <v>Change Management and Agility</v>
      </c>
      <c r="D236" s="1023"/>
      <c r="E236" s="1023"/>
      <c r="F236" s="1023"/>
      <c r="G236" s="1023"/>
      <c r="H236" s="308"/>
      <c r="I236" s="308"/>
      <c r="J236" s="309"/>
    </row>
    <row r="237" spans="2:10" ht="22.5" customHeight="1" x14ac:dyDescent="0.25">
      <c r="B237" s="290" t="str">
        <f>tech!B183</f>
        <v>2.4.1.</v>
      </c>
      <c r="C237" s="512" t="str">
        <f>tech!C183</f>
        <v>The policy for change management and agility is documented</v>
      </c>
      <c r="D237" s="512"/>
      <c r="E237" s="512"/>
      <c r="F237" s="512"/>
      <c r="G237" s="512"/>
      <c r="H237" s="1024" t="str">
        <f>INDEX(tech!$A$140:$A$225,MATCH(B237,tech!$B$140:$B$225,0))</f>
        <v>Basic</v>
      </c>
      <c r="I237" s="1024"/>
      <c r="J237" s="1025"/>
    </row>
    <row r="238" spans="2:10" ht="22.5" customHeight="1" x14ac:dyDescent="0.25">
      <c r="B238" s="300" t="str">
        <f>tech!B184</f>
        <v>2.4.2.</v>
      </c>
      <c r="C238" s="1030" t="str">
        <f>tech!C184</f>
        <v>Request for change structure is documented and followed</v>
      </c>
      <c r="D238" s="1030"/>
      <c r="E238" s="1030"/>
      <c r="F238" s="1030"/>
      <c r="G238" s="1030"/>
      <c r="H238" s="1026" t="str">
        <f>INDEX(tech!$A$140:$A$225,MATCH(B238,tech!$B$140:$B$225,0))</f>
        <v>Managed</v>
      </c>
      <c r="I238" s="1026"/>
      <c r="J238" s="1027"/>
    </row>
    <row r="239" spans="2:10" ht="30" customHeight="1" x14ac:dyDescent="0.25">
      <c r="B239" s="290" t="str">
        <f>tech!B185</f>
        <v>2.4.3.</v>
      </c>
      <c r="C239" s="512" t="str">
        <f>tech!C185</f>
        <v>The change management process is documented and implemented</v>
      </c>
      <c r="D239" s="512"/>
      <c r="E239" s="512"/>
      <c r="F239" s="512"/>
      <c r="G239" s="512"/>
      <c r="H239" s="1024" t="str">
        <f>INDEX(tech!$A$140:$A$225,MATCH(B239,tech!$B$140:$B$225,0))</f>
        <v>Basic</v>
      </c>
      <c r="I239" s="1024"/>
      <c r="J239" s="1025"/>
    </row>
    <row r="240" spans="2:10" ht="22.5" customHeight="1" x14ac:dyDescent="0.25">
      <c r="B240" s="300" t="str">
        <f>tech!B186</f>
        <v>2.4.4.</v>
      </c>
      <c r="C240" s="1030" t="str">
        <f>tech!C186</f>
        <v>Requirements for agility are identified</v>
      </c>
      <c r="D240" s="1030"/>
      <c r="E240" s="1030"/>
      <c r="F240" s="1030"/>
      <c r="G240" s="1030"/>
      <c r="H240" s="1026" t="str">
        <f>INDEX(tech!$A$140:$A$225,MATCH(B240,tech!$B$140:$B$225,0))</f>
        <v>Advanced</v>
      </c>
      <c r="I240" s="1026"/>
      <c r="J240" s="1027"/>
    </row>
    <row r="241" spans="2:10" ht="22.5" customHeight="1" thickBot="1" x14ac:dyDescent="0.3">
      <c r="B241" s="291" t="str">
        <f>tech!B187</f>
        <v>2.4.5.</v>
      </c>
      <c r="C241" s="1032" t="str">
        <f>tech!C187</f>
        <v>Change management and agility is periodically reviewed</v>
      </c>
      <c r="D241" s="1032"/>
      <c r="E241" s="1032"/>
      <c r="F241" s="1032"/>
      <c r="G241" s="1032"/>
      <c r="H241" s="1028" t="str">
        <f>INDEX(tech!$A$140:$A$225,MATCH(B241,tech!$B$140:$B$225,0))</f>
        <v>Advanced</v>
      </c>
      <c r="I241" s="1028"/>
      <c r="J241" s="1029"/>
    </row>
    <row r="242" spans="2:10" ht="30" hidden="1" customHeight="1" x14ac:dyDescent="0.25">
      <c r="B242" s="256" t="str">
        <f>tech!B188</f>
        <v>2.4.6.</v>
      </c>
      <c r="C242" s="512" t="str">
        <f>tech!C188</f>
        <v/>
      </c>
      <c r="D242" s="512"/>
      <c r="E242" s="512"/>
      <c r="F242" s="512"/>
      <c r="G242" s="512"/>
      <c r="H242" s="1024" t="str">
        <f>INDEX(tech!$A$140:$A$225,MATCH(B242,tech!$B$140:$B$225,0))</f>
        <v/>
      </c>
      <c r="I242" s="1024"/>
      <c r="J242" s="1024"/>
    </row>
    <row r="243" spans="2:10" x14ac:dyDescent="0.25">
      <c r="B243" s="256"/>
      <c r="C243" s="259"/>
      <c r="D243" s="259"/>
      <c r="E243" s="259"/>
      <c r="F243" s="259"/>
      <c r="G243" s="259"/>
      <c r="H243" s="69"/>
      <c r="I243" s="69"/>
      <c r="J243" s="69"/>
    </row>
    <row r="244" spans="2:10" ht="15.75" thickBot="1" x14ac:dyDescent="0.3">
      <c r="B244" s="256"/>
      <c r="C244" s="259"/>
      <c r="D244" s="259"/>
      <c r="E244" s="259"/>
      <c r="F244" s="259"/>
      <c r="G244" s="259"/>
      <c r="H244" s="69"/>
      <c r="I244" s="69"/>
      <c r="J244" s="69"/>
    </row>
    <row r="245" spans="2:10" ht="30" customHeight="1" thickBot="1" x14ac:dyDescent="0.3">
      <c r="B245" s="310" t="str">
        <f>LEFT(Evaluation!C23,2)</f>
        <v>3.</v>
      </c>
      <c r="C245" s="1035" t="str">
        <f>_xlfn.TEXTAFTER(Evaluation!C23," ")</f>
        <v>Operations</v>
      </c>
      <c r="D245" s="1035"/>
      <c r="E245" s="1035"/>
      <c r="F245" s="1035"/>
      <c r="G245" s="1035"/>
      <c r="H245" s="311"/>
      <c r="I245" s="311"/>
      <c r="J245" s="312"/>
    </row>
    <row r="246" spans="2:10" ht="30" customHeight="1" x14ac:dyDescent="0.25">
      <c r="B246" s="313" t="str">
        <f>LEFT(Evaluation!C46,4)</f>
        <v>3.1.</v>
      </c>
      <c r="C246" s="1033" t="str">
        <f>_xlfn.TEXTAFTER(Evaluation!C46," ")</f>
        <v>Resilience</v>
      </c>
      <c r="D246" s="1033"/>
      <c r="E246" s="1033"/>
      <c r="F246" s="1033"/>
      <c r="G246" s="1033"/>
      <c r="H246" s="314"/>
      <c r="I246" s="314"/>
      <c r="J246" s="315"/>
    </row>
    <row r="247" spans="2:10" ht="30" customHeight="1" x14ac:dyDescent="0.25">
      <c r="B247" s="290" t="str">
        <f>tech!B189</f>
        <v>3.1.1.</v>
      </c>
      <c r="C247" s="512" t="str">
        <f>tech!C189</f>
        <v>Risk assessment and business impact analysis</v>
      </c>
      <c r="D247" s="512"/>
      <c r="E247" s="512"/>
      <c r="F247" s="512"/>
      <c r="G247" s="512"/>
      <c r="H247" s="1024" t="str">
        <f>INDEX(tech!$A$140:$A$225,MATCH(B247,tech!$B$140:$B$225,0))</f>
        <v>Optimized</v>
      </c>
      <c r="I247" s="1024"/>
      <c r="J247" s="1025"/>
    </row>
    <row r="248" spans="2:10" ht="30" customHeight="1" x14ac:dyDescent="0.25">
      <c r="B248" s="300" t="str">
        <f>tech!B190</f>
        <v>3.1.2.</v>
      </c>
      <c r="C248" s="1030" t="str">
        <f>tech!C190</f>
        <v>Cyber-security management and incident planning</v>
      </c>
      <c r="D248" s="1030"/>
      <c r="E248" s="1030"/>
      <c r="F248" s="1030"/>
      <c r="G248" s="1030"/>
      <c r="H248" s="1026" t="str">
        <f>INDEX(tech!$A$140:$A$225,MATCH(B248,tech!$B$140:$B$225,0))</f>
        <v>Advanced</v>
      </c>
      <c r="I248" s="1026"/>
      <c r="J248" s="1027"/>
    </row>
    <row r="249" spans="2:10" ht="30" customHeight="1" x14ac:dyDescent="0.25">
      <c r="B249" s="290" t="str">
        <f>tech!B191</f>
        <v>3.1.3.</v>
      </c>
      <c r="C249" s="512" t="str">
        <f>tech!C191</f>
        <v>Business continuity planning and disaster recovery</v>
      </c>
      <c r="D249" s="512"/>
      <c r="E249" s="512"/>
      <c r="F249" s="512"/>
      <c r="G249" s="512"/>
      <c r="H249" s="1024" t="str">
        <f>INDEX(tech!$A$140:$A$225,MATCH(B249,tech!$B$140:$B$225,0))</f>
        <v>Managed</v>
      </c>
      <c r="I249" s="1024"/>
      <c r="J249" s="1025"/>
    </row>
    <row r="250" spans="2:10" ht="30" customHeight="1" x14ac:dyDescent="0.25">
      <c r="B250" s="300" t="str">
        <f>tech!B192</f>
        <v>3.1.4.</v>
      </c>
      <c r="C250" s="1030" t="str">
        <f>tech!C192</f>
        <v>Technology future proofing</v>
      </c>
      <c r="D250" s="1030"/>
      <c r="E250" s="1030"/>
      <c r="F250" s="1030"/>
      <c r="G250" s="1030"/>
      <c r="H250" s="1026" t="str">
        <f>INDEX(tech!$A$140:$A$225,MATCH(B250,tech!$B$140:$B$225,0))</f>
        <v>Managed</v>
      </c>
      <c r="I250" s="1026"/>
      <c r="J250" s="1027"/>
    </row>
    <row r="251" spans="2:10" ht="30" customHeight="1" x14ac:dyDescent="0.25">
      <c r="B251" s="290" t="str">
        <f>tech!B193</f>
        <v>3.1.5.</v>
      </c>
      <c r="C251" s="512" t="str">
        <f>tech!C193</f>
        <v>Competence and information sharing</v>
      </c>
      <c r="D251" s="512"/>
      <c r="E251" s="512"/>
      <c r="F251" s="512"/>
      <c r="G251" s="512"/>
      <c r="H251" s="1024" t="str">
        <f>INDEX(tech!$A$140:$A$225,MATCH(B251,tech!$B$140:$B$225,0))</f>
        <v>Initial</v>
      </c>
      <c r="I251" s="1024"/>
      <c r="J251" s="1025"/>
    </row>
    <row r="252" spans="2:10" ht="30" customHeight="1" thickBot="1" x14ac:dyDescent="0.3">
      <c r="B252" s="301" t="str">
        <f>tech!B194</f>
        <v>3.1.6.</v>
      </c>
      <c r="C252" s="1031" t="str">
        <f>tech!C194</f>
        <v>Continual review and improvement</v>
      </c>
      <c r="D252" s="1031"/>
      <c r="E252" s="1031"/>
      <c r="F252" s="1031"/>
      <c r="G252" s="1031"/>
      <c r="H252" s="1018" t="str">
        <f>INDEX(tech!$A$140:$A$225,MATCH(B252,tech!$B$140:$B$225,0))</f>
        <v>Advanced</v>
      </c>
      <c r="I252" s="1018"/>
      <c r="J252" s="1019"/>
    </row>
    <row r="253" spans="2:10" ht="30" customHeight="1" x14ac:dyDescent="0.25">
      <c r="B253" s="313" t="str">
        <f>LEFT(Evaluation!C48,4)</f>
        <v>3.2.</v>
      </c>
      <c r="C253" s="1033" t="str">
        <f>_xlfn.TEXTAFTER(Evaluation!C48," ")</f>
        <v>Interoperability</v>
      </c>
      <c r="D253" s="1033"/>
      <c r="E253" s="1033"/>
      <c r="F253" s="1033"/>
      <c r="G253" s="1033"/>
      <c r="H253" s="316"/>
      <c r="I253" s="316"/>
      <c r="J253" s="317"/>
    </row>
    <row r="254" spans="2:10" ht="30" customHeight="1" x14ac:dyDescent="0.25">
      <c r="B254" s="290" t="str">
        <f>tech!B195</f>
        <v>3.2.1.</v>
      </c>
      <c r="C254" s="512" t="str">
        <f>tech!C195</f>
        <v>Maintain PKI interoperability strategy</v>
      </c>
      <c r="D254" s="512"/>
      <c r="E254" s="512"/>
      <c r="F254" s="512"/>
      <c r="G254" s="512"/>
      <c r="H254" s="1024" t="str">
        <f>INDEX(tech!$A$140:$A$225,MATCH(B254,tech!$B$140:$B$225,0))</f>
        <v>Advanced</v>
      </c>
      <c r="I254" s="1024"/>
      <c r="J254" s="1025"/>
    </row>
    <row r="255" spans="2:10" ht="30" customHeight="1" x14ac:dyDescent="0.25">
      <c r="B255" s="300" t="str">
        <f>tech!B196</f>
        <v>3.2.2.</v>
      </c>
      <c r="C255" s="1030" t="str">
        <f>tech!C196</f>
        <v>Documented integration guidance</v>
      </c>
      <c r="D255" s="1030"/>
      <c r="E255" s="1030"/>
      <c r="F255" s="1030"/>
      <c r="G255" s="1030"/>
      <c r="H255" s="1026" t="str">
        <f>INDEX(tech!$A$140:$A$225,MATCH(B255,tech!$B$140:$B$225,0))</f>
        <v>Advanced</v>
      </c>
      <c r="I255" s="1026"/>
      <c r="J255" s="1027"/>
    </row>
    <row r="256" spans="2:10" ht="30" customHeight="1" thickBot="1" x14ac:dyDescent="0.3">
      <c r="B256" s="291" t="str">
        <f>tech!B197</f>
        <v>3.2.3.</v>
      </c>
      <c r="C256" s="1032" t="str">
        <f>tech!C197</f>
        <v>Adoption and application of open standards</v>
      </c>
      <c r="D256" s="1032"/>
      <c r="E256" s="1032"/>
      <c r="F256" s="1032"/>
      <c r="G256" s="1032"/>
      <c r="H256" s="1028" t="str">
        <f>INDEX(tech!$A$140:$A$225,MATCH(B256,tech!$B$140:$B$225,0))</f>
        <v>Managed</v>
      </c>
      <c r="I256" s="1028"/>
      <c r="J256" s="1029"/>
    </row>
    <row r="257" spans="2:10" ht="30" hidden="1" customHeight="1" x14ac:dyDescent="0.25">
      <c r="B257" s="256" t="str">
        <f>tech!B198</f>
        <v>3.2.4.</v>
      </c>
      <c r="C257" s="512" t="str">
        <f>tech!C198</f>
        <v/>
      </c>
      <c r="D257" s="512"/>
      <c r="E257" s="512"/>
      <c r="F257" s="512"/>
      <c r="G257" s="512"/>
      <c r="H257" s="1024" t="str">
        <f>INDEX(tech!$A$140:$A$225,MATCH(B257,tech!$B$140:$B$225,0))</f>
        <v/>
      </c>
      <c r="I257" s="1024"/>
      <c r="J257" s="1024"/>
    </row>
    <row r="258" spans="2:10" ht="30" hidden="1" customHeight="1" x14ac:dyDescent="0.25">
      <c r="B258" s="256" t="str">
        <f>tech!B199</f>
        <v>3.2.5.</v>
      </c>
      <c r="C258" s="512" t="str">
        <f>tech!C199</f>
        <v/>
      </c>
      <c r="D258" s="512"/>
      <c r="E258" s="512"/>
      <c r="F258" s="512"/>
      <c r="G258" s="512"/>
      <c r="H258" s="1024" t="str">
        <f>INDEX(tech!$A$140:$A$225,MATCH(B258,tech!$B$140:$B$225,0))</f>
        <v/>
      </c>
      <c r="I258" s="1024"/>
      <c r="J258" s="1024"/>
    </row>
    <row r="259" spans="2:10" ht="30" hidden="1" customHeight="1" x14ac:dyDescent="0.25">
      <c r="B259" s="256" t="str">
        <f>tech!B200</f>
        <v>3.2.6.</v>
      </c>
      <c r="C259" s="512" t="str">
        <f>tech!C200</f>
        <v/>
      </c>
      <c r="D259" s="512"/>
      <c r="E259" s="512"/>
      <c r="F259" s="512"/>
      <c r="G259" s="512"/>
      <c r="H259" s="1024" t="str">
        <f>INDEX(tech!$A$140:$A$225,MATCH(B259,tech!$B$140:$B$225,0))</f>
        <v/>
      </c>
      <c r="I259" s="1024"/>
      <c r="J259" s="1024"/>
    </row>
    <row r="260" spans="2:10" ht="30" customHeight="1" x14ac:dyDescent="0.25">
      <c r="B260" s="313" t="str">
        <f>LEFT(Evaluation!C50,4)</f>
        <v>3.3.</v>
      </c>
      <c r="C260" s="1033" t="str">
        <f>_xlfn.TEXTAFTER(Evaluation!C50," ")</f>
        <v>Monitoring and Auditing</v>
      </c>
      <c r="D260" s="1033"/>
      <c r="E260" s="1033"/>
      <c r="F260" s="1033"/>
      <c r="G260" s="1033"/>
      <c r="H260" s="316"/>
      <c r="I260" s="316"/>
      <c r="J260" s="317"/>
    </row>
    <row r="261" spans="2:10" ht="30" customHeight="1" x14ac:dyDescent="0.25">
      <c r="B261" s="290" t="str">
        <f>tech!B201</f>
        <v>3.3.1.</v>
      </c>
      <c r="C261" s="512" t="str">
        <f>tech!C201</f>
        <v>Monitoring events and logging requirements are defined and documented</v>
      </c>
      <c r="D261" s="512"/>
      <c r="E261" s="512"/>
      <c r="F261" s="512"/>
      <c r="G261" s="512"/>
      <c r="H261" s="1024" t="str">
        <f>INDEX(tech!$A$140:$A$225,MATCH(B261,tech!$B$140:$B$225,0))</f>
        <v>Advanced</v>
      </c>
      <c r="I261" s="1024"/>
      <c r="J261" s="1025"/>
    </row>
    <row r="262" spans="2:10" ht="30" customHeight="1" x14ac:dyDescent="0.25">
      <c r="B262" s="300" t="str">
        <f>tech!B202</f>
        <v>3.3.2.</v>
      </c>
      <c r="C262" s="1030" t="str">
        <f>tech!C202</f>
        <v>Event logs from systems are collected</v>
      </c>
      <c r="D262" s="1030"/>
      <c r="E262" s="1030"/>
      <c r="F262" s="1030"/>
      <c r="G262" s="1030"/>
      <c r="H262" s="1026" t="str">
        <f>INDEX(tech!$A$140:$A$225,MATCH(B262,tech!$B$140:$B$225,0))</f>
        <v>Advanced</v>
      </c>
      <c r="I262" s="1026"/>
      <c r="J262" s="1027"/>
    </row>
    <row r="263" spans="2:10" ht="30" customHeight="1" x14ac:dyDescent="0.25">
      <c r="B263" s="290" t="str">
        <f>tech!B203</f>
        <v>3.3.3.</v>
      </c>
      <c r="C263" s="512" t="str">
        <f>tech!C203</f>
        <v>Audit trail can be reconstructed from audit logs</v>
      </c>
      <c r="D263" s="512"/>
      <c r="E263" s="512"/>
      <c r="F263" s="512"/>
      <c r="G263" s="512"/>
      <c r="H263" s="1024" t="str">
        <f>INDEX(tech!$A$140:$A$225,MATCH(B263,tech!$B$140:$B$225,0))</f>
        <v>Advanced</v>
      </c>
      <c r="I263" s="1024"/>
      <c r="J263" s="1025"/>
    </row>
    <row r="264" spans="2:10" ht="30" customHeight="1" x14ac:dyDescent="0.25">
      <c r="B264" s="300" t="str">
        <f>tech!B204</f>
        <v>3.3.4.</v>
      </c>
      <c r="C264" s="1030" t="str">
        <f>tech!C204</f>
        <v>Monitoring of operational and security events is implemented</v>
      </c>
      <c r="D264" s="1030"/>
      <c r="E264" s="1030"/>
      <c r="F264" s="1030"/>
      <c r="G264" s="1030"/>
      <c r="H264" s="1026" t="str">
        <f>INDEX(tech!$A$140:$A$225,MATCH(B264,tech!$B$140:$B$225,0))</f>
        <v>Advanced</v>
      </c>
      <c r="I264" s="1026"/>
      <c r="J264" s="1027"/>
    </row>
    <row r="265" spans="2:10" ht="30" customHeight="1" x14ac:dyDescent="0.25">
      <c r="B265" s="290" t="str">
        <f>tech!B205</f>
        <v>3.3.5.</v>
      </c>
      <c r="C265" s="512" t="str">
        <f>tech!C205</f>
        <v>Critical events are immediately alerted and resolved according to incident response plans</v>
      </c>
      <c r="D265" s="512"/>
      <c r="E265" s="512"/>
      <c r="F265" s="512"/>
      <c r="G265" s="512"/>
      <c r="H265" s="1024" t="str">
        <f>INDEX(tech!$A$140:$A$225,MATCH(B265,tech!$B$140:$B$225,0))</f>
        <v>Advanced</v>
      </c>
      <c r="I265" s="1024"/>
      <c r="J265" s="1025"/>
    </row>
    <row r="266" spans="2:10" ht="30" customHeight="1" thickBot="1" x14ac:dyDescent="0.3">
      <c r="B266" s="301" t="str">
        <f>tech!B206</f>
        <v>3.3.6.</v>
      </c>
      <c r="C266" s="1031" t="str">
        <f>tech!C206</f>
        <v>Review of events and logs is periodically performed</v>
      </c>
      <c r="D266" s="1031"/>
      <c r="E266" s="1031"/>
      <c r="F266" s="1031"/>
      <c r="G266" s="1031"/>
      <c r="H266" s="1018" t="str">
        <f>INDEX(tech!$A$140:$A$225,MATCH(B266,tech!$B$140:$B$225,0))</f>
        <v>Advanced</v>
      </c>
      <c r="I266" s="1018"/>
      <c r="J266" s="1019"/>
    </row>
    <row r="267" spans="2:10" ht="30" customHeight="1" x14ac:dyDescent="0.25">
      <c r="B267" s="313" t="str">
        <f>LEFT(Evaluation!C52,4)</f>
        <v>3.4.</v>
      </c>
      <c r="C267" s="1033" t="str">
        <f>_xlfn.TEXTAFTER(Evaluation!C52," ")</f>
        <v>Automation</v>
      </c>
      <c r="D267" s="1033"/>
      <c r="E267" s="1033"/>
      <c r="F267" s="1033"/>
      <c r="G267" s="1033"/>
      <c r="H267" s="316"/>
      <c r="I267" s="316"/>
      <c r="J267" s="317"/>
    </row>
    <row r="268" spans="2:10" ht="30" customHeight="1" x14ac:dyDescent="0.25">
      <c r="B268" s="290" t="str">
        <f>tech!B207</f>
        <v>3.4.1.</v>
      </c>
      <c r="C268" s="512" t="str">
        <f>tech!C207</f>
        <v>Process automation description</v>
      </c>
      <c r="D268" s="512"/>
      <c r="E268" s="512"/>
      <c r="F268" s="512"/>
      <c r="G268" s="512"/>
      <c r="H268" s="1024" t="str">
        <f>INDEX(tech!$A$140:$A$225,MATCH(B268,tech!$B$140:$B$225,0))</f>
        <v>Basic</v>
      </c>
      <c r="I268" s="1024"/>
      <c r="J268" s="1025"/>
    </row>
    <row r="269" spans="2:10" ht="30" customHeight="1" x14ac:dyDescent="0.25">
      <c r="B269" s="300" t="str">
        <f>tech!B208</f>
        <v>3.4.2.</v>
      </c>
      <c r="C269" s="1030" t="str">
        <f>tech!C208</f>
        <v>Monitoring and auditing of automated process</v>
      </c>
      <c r="D269" s="1030"/>
      <c r="E269" s="1030"/>
      <c r="F269" s="1030"/>
      <c r="G269" s="1030"/>
      <c r="H269" s="1026" t="str">
        <f>INDEX(tech!$A$140:$A$225,MATCH(B269,tech!$B$140:$B$225,0))</f>
        <v>Managed</v>
      </c>
      <c r="I269" s="1026"/>
      <c r="J269" s="1027"/>
    </row>
    <row r="270" spans="2:10" ht="30" customHeight="1" thickBot="1" x14ac:dyDescent="0.3">
      <c r="B270" s="291" t="str">
        <f>tech!B209</f>
        <v>3.4.3.</v>
      </c>
      <c r="C270" s="1032" t="str">
        <f>tech!C209</f>
        <v>Incidents and exceptions handling</v>
      </c>
      <c r="D270" s="1032"/>
      <c r="E270" s="1032"/>
      <c r="F270" s="1032"/>
      <c r="G270" s="1032"/>
      <c r="H270" s="1028" t="str">
        <f>INDEX(tech!$A$140:$A$225,MATCH(B270,tech!$B$140:$B$225,0))</f>
        <v>Basic</v>
      </c>
      <c r="I270" s="1028"/>
      <c r="J270" s="1029"/>
    </row>
    <row r="271" spans="2:10" ht="30" hidden="1" customHeight="1" x14ac:dyDescent="0.25">
      <c r="B271" s="256" t="str">
        <f>tech!B210</f>
        <v>3.4.4.</v>
      </c>
      <c r="C271" s="512" t="str">
        <f>tech!C210</f>
        <v/>
      </c>
      <c r="D271" s="512"/>
      <c r="E271" s="512"/>
      <c r="F271" s="512"/>
      <c r="G271" s="512"/>
      <c r="H271" s="1024" t="str">
        <f>INDEX(tech!$A$140:$A$225,MATCH(B271,tech!$B$140:$B$225,0))</f>
        <v/>
      </c>
      <c r="I271" s="1024"/>
      <c r="J271" s="1024"/>
    </row>
    <row r="272" spans="2:10" ht="30" hidden="1" customHeight="1" x14ac:dyDescent="0.25">
      <c r="B272" s="256" t="str">
        <f>tech!B211</f>
        <v>3.4.5.</v>
      </c>
      <c r="C272" s="512" t="str">
        <f>tech!C211</f>
        <v/>
      </c>
      <c r="D272" s="512"/>
      <c r="E272" s="512"/>
      <c r="F272" s="512"/>
      <c r="G272" s="512"/>
      <c r="H272" s="1024" t="str">
        <f>INDEX(tech!$A$140:$A$225,MATCH(B272,tech!$B$140:$B$225,0))</f>
        <v/>
      </c>
      <c r="I272" s="1024"/>
      <c r="J272" s="1024"/>
    </row>
    <row r="273" spans="2:10" ht="30" hidden="1" customHeight="1" x14ac:dyDescent="0.25">
      <c r="B273" s="256" t="str">
        <f>tech!B212</f>
        <v>3.4.6.</v>
      </c>
      <c r="C273" s="512" t="str">
        <f>tech!C212</f>
        <v/>
      </c>
      <c r="D273" s="512"/>
      <c r="E273" s="512"/>
      <c r="F273" s="512"/>
      <c r="G273" s="512"/>
      <c r="H273" s="1024" t="str">
        <f>INDEX(tech!$A$140:$A$225,MATCH(B273,tech!$B$140:$B$225,0))</f>
        <v/>
      </c>
      <c r="I273" s="1024"/>
      <c r="J273" s="1024"/>
    </row>
    <row r="274" spans="2:10" x14ac:dyDescent="0.25">
      <c r="B274" s="256"/>
      <c r="C274" s="259"/>
      <c r="D274" s="259"/>
      <c r="E274" s="259"/>
      <c r="F274" s="259"/>
      <c r="G274" s="259"/>
      <c r="H274" s="69"/>
      <c r="I274" s="69"/>
      <c r="J274" s="69"/>
    </row>
    <row r="275" spans="2:10" x14ac:dyDescent="0.25">
      <c r="B275" s="256"/>
      <c r="C275" s="259"/>
      <c r="D275" s="259"/>
      <c r="E275" s="259"/>
      <c r="F275" s="259"/>
      <c r="G275" s="259"/>
      <c r="H275" s="69"/>
      <c r="I275" s="69"/>
      <c r="J275" s="69"/>
    </row>
    <row r="276" spans="2:10" x14ac:dyDescent="0.25">
      <c r="B276" s="256"/>
      <c r="C276" s="259"/>
      <c r="D276" s="259"/>
      <c r="E276" s="259"/>
      <c r="F276" s="259"/>
      <c r="G276" s="259"/>
      <c r="H276" s="69"/>
      <c r="I276" s="69"/>
      <c r="J276" s="69"/>
    </row>
    <row r="277" spans="2:10" ht="15.75" thickBot="1" x14ac:dyDescent="0.3">
      <c r="B277" s="256"/>
      <c r="C277" s="259"/>
      <c r="D277" s="259"/>
      <c r="E277" s="259"/>
      <c r="F277" s="259"/>
      <c r="G277" s="259"/>
      <c r="H277" s="69"/>
      <c r="I277" s="69"/>
      <c r="J277" s="69"/>
    </row>
    <row r="278" spans="2:10" ht="30" customHeight="1" thickBot="1" x14ac:dyDescent="0.3">
      <c r="B278" s="318" t="str">
        <f>LEFT(Evaluation!C25,2)</f>
        <v>4.</v>
      </c>
      <c r="C278" s="1036" t="str">
        <f>_xlfn.TEXTAFTER(Evaluation!C25," ")</f>
        <v>Resources</v>
      </c>
      <c r="D278" s="1036"/>
      <c r="E278" s="1036"/>
      <c r="F278" s="1036"/>
      <c r="G278" s="1036"/>
      <c r="H278" s="319"/>
      <c r="I278" s="319"/>
      <c r="J278" s="320"/>
    </row>
    <row r="279" spans="2:10" ht="30" customHeight="1" x14ac:dyDescent="0.25">
      <c r="B279" s="321" t="str">
        <f>LEFT(Evaluation!C54,4)</f>
        <v>4.1.</v>
      </c>
      <c r="C279" s="1034" t="str">
        <f>_xlfn.TEXTAFTER(Evaluation!C54," ")</f>
        <v>Sourcing</v>
      </c>
      <c r="D279" s="1034"/>
      <c r="E279" s="1034"/>
      <c r="F279" s="1034"/>
      <c r="G279" s="1034"/>
      <c r="H279" s="322"/>
      <c r="I279" s="322"/>
      <c r="J279" s="323"/>
    </row>
    <row r="280" spans="2:10" ht="30" customHeight="1" x14ac:dyDescent="0.25">
      <c r="B280" s="290" t="str">
        <f>tech!B213</f>
        <v>4.1.1.</v>
      </c>
      <c r="C280" s="512" t="str">
        <f>tech!C213</f>
        <v>Resources are identified and documented</v>
      </c>
      <c r="D280" s="512"/>
      <c r="E280" s="512"/>
      <c r="F280" s="512"/>
      <c r="G280" s="512"/>
      <c r="H280" s="1024" t="str">
        <f>INDEX(tech!$A$140:$A$225,MATCH(B280,tech!$B$140:$B$225,0))</f>
        <v>Initial</v>
      </c>
      <c r="I280" s="1024"/>
      <c r="J280" s="1025"/>
    </row>
    <row r="281" spans="2:10" ht="30" customHeight="1" x14ac:dyDescent="0.25">
      <c r="B281" s="300" t="str">
        <f>tech!B214</f>
        <v>4.1.2.</v>
      </c>
      <c r="C281" s="1030" t="str">
        <f>tech!C214</f>
        <v>Resources are clearly defined</v>
      </c>
      <c r="D281" s="1030"/>
      <c r="E281" s="1030"/>
      <c r="F281" s="1030"/>
      <c r="G281" s="1030"/>
      <c r="H281" s="1026" t="str">
        <f>INDEX(tech!$A$140:$A$225,MATCH(B281,tech!$B$140:$B$225,0))</f>
        <v>Optimized</v>
      </c>
      <c r="I281" s="1026"/>
      <c r="J281" s="1027"/>
    </row>
    <row r="282" spans="2:10" ht="30" customHeight="1" x14ac:dyDescent="0.25">
      <c r="B282" s="290" t="str">
        <f>tech!B215</f>
        <v>4.1.3.</v>
      </c>
      <c r="C282" s="512" t="str">
        <f>tech!C215</f>
        <v>Availability of resources</v>
      </c>
      <c r="D282" s="512"/>
      <c r="E282" s="512"/>
      <c r="F282" s="512"/>
      <c r="G282" s="512"/>
      <c r="H282" s="1024" t="str">
        <f>INDEX(tech!$A$140:$A$225,MATCH(B282,tech!$B$140:$B$225,0))</f>
        <v>Optimized</v>
      </c>
      <c r="I282" s="1024"/>
      <c r="J282" s="1025"/>
    </row>
    <row r="283" spans="2:10" ht="30" customHeight="1" thickBot="1" x14ac:dyDescent="0.3">
      <c r="B283" s="301" t="str">
        <f>tech!B216</f>
        <v>4.1.4.</v>
      </c>
      <c r="C283" s="1031" t="str">
        <f>tech!C216</f>
        <v>Resources are periodically reviewed</v>
      </c>
      <c r="D283" s="1031"/>
      <c r="E283" s="1031"/>
      <c r="F283" s="1031"/>
      <c r="G283" s="1031"/>
      <c r="H283" s="1018" t="str">
        <f>INDEX(tech!$A$140:$A$225,MATCH(B283,tech!$B$140:$B$225,0))</f>
        <v>Optimized</v>
      </c>
      <c r="I283" s="1018"/>
      <c r="J283" s="1019"/>
    </row>
    <row r="284" spans="2:10" ht="30" customHeight="1" x14ac:dyDescent="0.25">
      <c r="B284" s="321" t="str">
        <f>LEFT(Evaluation!C56,4)</f>
        <v>4.2.</v>
      </c>
      <c r="C284" s="1034" t="str">
        <f>_xlfn.TEXTAFTER(Evaluation!C56," ")</f>
        <v>Knowledge and Training</v>
      </c>
      <c r="D284" s="1034"/>
      <c r="E284" s="1034"/>
      <c r="F284" s="1034"/>
      <c r="G284" s="1034"/>
      <c r="H284" s="324"/>
      <c r="I284" s="324"/>
      <c r="J284" s="325"/>
    </row>
    <row r="285" spans="2:10" ht="30" customHeight="1" x14ac:dyDescent="0.25">
      <c r="B285" s="290" t="str">
        <f>tech!B217</f>
        <v>4.2.1.</v>
      </c>
      <c r="C285" s="512" t="str">
        <f>tech!C217</f>
        <v>Establish training plan</v>
      </c>
      <c r="D285" s="512"/>
      <c r="E285" s="512"/>
      <c r="F285" s="512"/>
      <c r="G285" s="512"/>
      <c r="H285" s="1024" t="str">
        <f>INDEX(tech!$A$140:$A$225,MATCH(B285,tech!$B$140:$B$225,0))</f>
        <v>Managed</v>
      </c>
      <c r="I285" s="1024"/>
      <c r="J285" s="1025"/>
    </row>
    <row r="286" spans="2:10" ht="30" customHeight="1" x14ac:dyDescent="0.25">
      <c r="B286" s="300" t="str">
        <f>tech!B218</f>
        <v>4.2.2.</v>
      </c>
      <c r="C286" s="1030" t="str">
        <f>tech!C218</f>
        <v>Responsible personnel receive training</v>
      </c>
      <c r="D286" s="1030"/>
      <c r="E286" s="1030"/>
      <c r="F286" s="1030"/>
      <c r="G286" s="1030"/>
      <c r="H286" s="1026" t="str">
        <f>INDEX(tech!$A$140:$A$225,MATCH(B286,tech!$B$140:$B$225,0))</f>
        <v>Managed</v>
      </c>
      <c r="I286" s="1026"/>
      <c r="J286" s="1027"/>
    </row>
    <row r="287" spans="2:10" ht="30" customHeight="1" x14ac:dyDescent="0.25">
      <c r="B287" s="290" t="str">
        <f>tech!B219</f>
        <v>4.2.3.</v>
      </c>
      <c r="C287" s="512" t="str">
        <f>tech!C219</f>
        <v>Perform security awareness training</v>
      </c>
      <c r="D287" s="512"/>
      <c r="E287" s="512"/>
      <c r="F287" s="512"/>
      <c r="G287" s="512"/>
      <c r="H287" s="1024" t="str">
        <f>INDEX(tech!$A$140:$A$225,MATCH(B287,tech!$B$140:$B$225,0))</f>
        <v>Optimized</v>
      </c>
      <c r="I287" s="1024"/>
      <c r="J287" s="1025"/>
    </row>
    <row r="288" spans="2:10" ht="30" customHeight="1" x14ac:dyDescent="0.25">
      <c r="B288" s="300" t="str">
        <f>tech!B220</f>
        <v>4.2.4.</v>
      </c>
      <c r="C288" s="1030" t="str">
        <f>tech!C220</f>
        <v>Establish education plan</v>
      </c>
      <c r="D288" s="1030"/>
      <c r="E288" s="1030"/>
      <c r="F288" s="1030"/>
      <c r="G288" s="1030"/>
      <c r="H288" s="1026" t="str">
        <f>INDEX(tech!$A$140:$A$225,MATCH(B288,tech!$B$140:$B$225,0))</f>
        <v>Managed</v>
      </c>
      <c r="I288" s="1026"/>
      <c r="J288" s="1027"/>
    </row>
    <row r="289" spans="2:10" ht="30" customHeight="1" thickBot="1" x14ac:dyDescent="0.3">
      <c r="B289" s="291" t="str">
        <f>tech!B221</f>
        <v>4.2.5.</v>
      </c>
      <c r="C289" s="1032" t="str">
        <f>tech!C221</f>
        <v>Periodically review knowledge</v>
      </c>
      <c r="D289" s="1032"/>
      <c r="E289" s="1032"/>
      <c r="F289" s="1032"/>
      <c r="G289" s="1032"/>
      <c r="H289" s="1028" t="str">
        <f>INDEX(tech!$A$140:$A$225,MATCH(B289,tech!$B$140:$B$225,0))</f>
        <v>Managed</v>
      </c>
      <c r="I289" s="1028"/>
      <c r="J289" s="1029"/>
    </row>
    <row r="290" spans="2:10" ht="30" customHeight="1" x14ac:dyDescent="0.25">
      <c r="B290" s="321" t="str">
        <f>LEFT(Evaluation!C58,4)</f>
        <v>4.3.</v>
      </c>
      <c r="C290" s="1034" t="str">
        <f>_xlfn.TEXTAFTER(Evaluation!C58," ")</f>
        <v>Awareness</v>
      </c>
      <c r="D290" s="1034"/>
      <c r="E290" s="1034"/>
      <c r="F290" s="1034"/>
      <c r="G290" s="1034"/>
      <c r="H290" s="324"/>
      <c r="I290" s="324"/>
      <c r="J290" s="325"/>
    </row>
    <row r="291" spans="2:10" ht="30" customHeight="1" x14ac:dyDescent="0.25">
      <c r="B291" s="290" t="str">
        <f>tech!B222</f>
        <v>4.3.1.</v>
      </c>
      <c r="C291" s="512" t="str">
        <f>tech!C222</f>
        <v>Establish and maintain awareness plan</v>
      </c>
      <c r="D291" s="512"/>
      <c r="E291" s="512"/>
      <c r="F291" s="512"/>
      <c r="G291" s="512"/>
      <c r="H291" s="1024" t="str">
        <f>INDEX(tech!$A$140:$A$225,MATCH(B291,tech!$B$140:$B$225,0))</f>
        <v>Basic</v>
      </c>
      <c r="I291" s="1024"/>
      <c r="J291" s="1025"/>
    </row>
    <row r="292" spans="2:10" ht="30" customHeight="1" x14ac:dyDescent="0.25">
      <c r="B292" s="300" t="str">
        <f>tech!B223</f>
        <v>4.3.2.</v>
      </c>
      <c r="C292" s="1030" t="str">
        <f>tech!C223</f>
        <v>Disclose PKI information</v>
      </c>
      <c r="D292" s="1030"/>
      <c r="E292" s="1030"/>
      <c r="F292" s="1030"/>
      <c r="G292" s="1030"/>
      <c r="H292" s="1026" t="str">
        <f>INDEX(tech!$A$140:$A$225,MATCH(B292,tech!$B$140:$B$225,0))</f>
        <v>Managed</v>
      </c>
      <c r="I292" s="1026"/>
      <c r="J292" s="1027"/>
    </row>
    <row r="293" spans="2:10" ht="30" customHeight="1" x14ac:dyDescent="0.25">
      <c r="B293" s="290" t="str">
        <f>tech!B224</f>
        <v>4.3.3.</v>
      </c>
      <c r="C293" s="512" t="str">
        <f>tech!C224</f>
        <v>Establish single point of contact</v>
      </c>
      <c r="D293" s="512"/>
      <c r="E293" s="512"/>
      <c r="F293" s="512"/>
      <c r="G293" s="512"/>
      <c r="H293" s="1024" t="str">
        <f>INDEX(tech!$A$140:$A$225,MATCH(B293,tech!$B$140:$B$225,0))</f>
        <v>Managed</v>
      </c>
      <c r="I293" s="1024"/>
      <c r="J293" s="1025"/>
    </row>
    <row r="294" spans="2:10" ht="30" customHeight="1" thickBot="1" x14ac:dyDescent="0.3">
      <c r="B294" s="301" t="str">
        <f>tech!B225</f>
        <v>4.3.4.</v>
      </c>
      <c r="C294" s="1031" t="str">
        <f>tech!C225</f>
        <v>Timely communication of important information</v>
      </c>
      <c r="D294" s="1031"/>
      <c r="E294" s="1031"/>
      <c r="F294" s="1031"/>
      <c r="G294" s="1031"/>
      <c r="H294" s="1018" t="str">
        <f>INDEX(tech!$A$140:$A$225,MATCH(B294,tech!$B$140:$B$225,0))</f>
        <v>Advanced</v>
      </c>
      <c r="I294" s="1018"/>
      <c r="J294" s="1019"/>
    </row>
  </sheetData>
  <mergeCells count="294">
    <mergeCell ref="B12:C12"/>
    <mergeCell ref="D12:E12"/>
    <mergeCell ref="F12:G12"/>
    <mergeCell ref="H12:J12"/>
    <mergeCell ref="B13:C13"/>
    <mergeCell ref="D13:E13"/>
    <mergeCell ref="F13:G13"/>
    <mergeCell ref="H13:J13"/>
    <mergeCell ref="B1:J4"/>
    <mergeCell ref="B5:J7"/>
    <mergeCell ref="B9:J9"/>
    <mergeCell ref="B10:E10"/>
    <mergeCell ref="F10:J10"/>
    <mergeCell ref="B11:C11"/>
    <mergeCell ref="D11:E11"/>
    <mergeCell ref="F11:G11"/>
    <mergeCell ref="H11:J11"/>
    <mergeCell ref="B21:C21"/>
    <mergeCell ref="D21:J21"/>
    <mergeCell ref="B22:C22"/>
    <mergeCell ref="D22:J22"/>
    <mergeCell ref="B36:J36"/>
    <mergeCell ref="B37:E37"/>
    <mergeCell ref="B16:J16"/>
    <mergeCell ref="B18:C18"/>
    <mergeCell ref="D18:J18"/>
    <mergeCell ref="B19:C19"/>
    <mergeCell ref="D19:H19"/>
    <mergeCell ref="B20:C20"/>
    <mergeCell ref="D20:J20"/>
    <mergeCell ref="B54:F54"/>
    <mergeCell ref="B55:J55"/>
    <mergeCell ref="B57:G57"/>
    <mergeCell ref="B58:J58"/>
    <mergeCell ref="B71:J71"/>
    <mergeCell ref="F73:G73"/>
    <mergeCell ref="B38:J38"/>
    <mergeCell ref="B40:F40"/>
    <mergeCell ref="B41:J41"/>
    <mergeCell ref="B43:E43"/>
    <mergeCell ref="B44:J44"/>
    <mergeCell ref="B52:J52"/>
    <mergeCell ref="B79:E79"/>
    <mergeCell ref="F79:G79"/>
    <mergeCell ref="F80:G80"/>
    <mergeCell ref="B81:E81"/>
    <mergeCell ref="F81:G81"/>
    <mergeCell ref="F82:G82"/>
    <mergeCell ref="B74:D74"/>
    <mergeCell ref="F74:G74"/>
    <mergeCell ref="B75:D75"/>
    <mergeCell ref="B77:E77"/>
    <mergeCell ref="F77:G77"/>
    <mergeCell ref="F78:G78"/>
    <mergeCell ref="B89:E89"/>
    <mergeCell ref="F89:G89"/>
    <mergeCell ref="F90:G90"/>
    <mergeCell ref="B91:E91"/>
    <mergeCell ref="F91:G91"/>
    <mergeCell ref="F92:G92"/>
    <mergeCell ref="B83:E83"/>
    <mergeCell ref="F83:G83"/>
    <mergeCell ref="B85:D85"/>
    <mergeCell ref="B87:E87"/>
    <mergeCell ref="F87:G87"/>
    <mergeCell ref="F88:G88"/>
    <mergeCell ref="B97:E97"/>
    <mergeCell ref="F97:G97"/>
    <mergeCell ref="F98:G98"/>
    <mergeCell ref="B99:E99"/>
    <mergeCell ref="F99:G99"/>
    <mergeCell ref="F100:G100"/>
    <mergeCell ref="B93:E93"/>
    <mergeCell ref="F93:G93"/>
    <mergeCell ref="F94:G94"/>
    <mergeCell ref="B95:E95"/>
    <mergeCell ref="F95:G95"/>
    <mergeCell ref="F96:G96"/>
    <mergeCell ref="B105:E105"/>
    <mergeCell ref="F105:G105"/>
    <mergeCell ref="F106:G106"/>
    <mergeCell ref="B107:E107"/>
    <mergeCell ref="F107:G107"/>
    <mergeCell ref="F108:G108"/>
    <mergeCell ref="B101:E101"/>
    <mergeCell ref="F101:G101"/>
    <mergeCell ref="F102:G102"/>
    <mergeCell ref="B103:E103"/>
    <mergeCell ref="F103:G103"/>
    <mergeCell ref="F104:G104"/>
    <mergeCell ref="B113:E113"/>
    <mergeCell ref="F113:G113"/>
    <mergeCell ref="F114:G114"/>
    <mergeCell ref="B115:E115"/>
    <mergeCell ref="F115:G115"/>
    <mergeCell ref="B131:J131"/>
    <mergeCell ref="B109:E109"/>
    <mergeCell ref="F109:G109"/>
    <mergeCell ref="F110:G110"/>
    <mergeCell ref="B111:E111"/>
    <mergeCell ref="F111:G111"/>
    <mergeCell ref="F112:G112"/>
    <mergeCell ref="C186:G186"/>
    <mergeCell ref="H186:J186"/>
    <mergeCell ref="C187:G187"/>
    <mergeCell ref="H187:J187"/>
    <mergeCell ref="C188:G188"/>
    <mergeCell ref="H188:J188"/>
    <mergeCell ref="B180:J180"/>
    <mergeCell ref="C182:G182"/>
    <mergeCell ref="C183:G183"/>
    <mergeCell ref="C184:G184"/>
    <mergeCell ref="H184:J184"/>
    <mergeCell ref="C185:G185"/>
    <mergeCell ref="H185:J185"/>
    <mergeCell ref="C193:G193"/>
    <mergeCell ref="H193:J193"/>
    <mergeCell ref="C194:G194"/>
    <mergeCell ref="H194:J194"/>
    <mergeCell ref="C195:G195"/>
    <mergeCell ref="H195:J195"/>
    <mergeCell ref="C189:G189"/>
    <mergeCell ref="H189:J189"/>
    <mergeCell ref="C190:G190"/>
    <mergeCell ref="C191:G191"/>
    <mergeCell ref="H191:J191"/>
    <mergeCell ref="C192:G192"/>
    <mergeCell ref="H192:J192"/>
    <mergeCell ref="C200:G200"/>
    <mergeCell ref="H200:J200"/>
    <mergeCell ref="C201:G201"/>
    <mergeCell ref="H201:J201"/>
    <mergeCell ref="C202:G202"/>
    <mergeCell ref="H202:J202"/>
    <mergeCell ref="C196:G196"/>
    <mergeCell ref="H196:J196"/>
    <mergeCell ref="C197:G197"/>
    <mergeCell ref="C198:G198"/>
    <mergeCell ref="H198:J198"/>
    <mergeCell ref="C199:G199"/>
    <mergeCell ref="H199:J199"/>
    <mergeCell ref="C207:G207"/>
    <mergeCell ref="H207:J207"/>
    <mergeCell ref="C208:G208"/>
    <mergeCell ref="H208:J208"/>
    <mergeCell ref="C209:G209"/>
    <mergeCell ref="H209:J209"/>
    <mergeCell ref="C203:G203"/>
    <mergeCell ref="H203:J203"/>
    <mergeCell ref="C204:G204"/>
    <mergeCell ref="C205:G205"/>
    <mergeCell ref="H205:J205"/>
    <mergeCell ref="C206:G206"/>
    <mergeCell ref="H206:J206"/>
    <mergeCell ref="C216:G216"/>
    <mergeCell ref="H216:J216"/>
    <mergeCell ref="C217:G217"/>
    <mergeCell ref="H217:J217"/>
    <mergeCell ref="C218:G218"/>
    <mergeCell ref="H218:J218"/>
    <mergeCell ref="C210:G210"/>
    <mergeCell ref="H210:J210"/>
    <mergeCell ref="C213:G213"/>
    <mergeCell ref="C214:G214"/>
    <mergeCell ref="C215:G215"/>
    <mergeCell ref="H215:J215"/>
    <mergeCell ref="C223:G223"/>
    <mergeCell ref="H223:J223"/>
    <mergeCell ref="C224:G224"/>
    <mergeCell ref="H224:J224"/>
    <mergeCell ref="C225:G225"/>
    <mergeCell ref="H225:J225"/>
    <mergeCell ref="C219:G219"/>
    <mergeCell ref="H219:J219"/>
    <mergeCell ref="C220:G220"/>
    <mergeCell ref="H220:J220"/>
    <mergeCell ref="C221:G221"/>
    <mergeCell ref="C222:G222"/>
    <mergeCell ref="H222:J222"/>
    <mergeCell ref="C229:G229"/>
    <mergeCell ref="C230:G230"/>
    <mergeCell ref="H230:J230"/>
    <mergeCell ref="C231:G231"/>
    <mergeCell ref="H231:J231"/>
    <mergeCell ref="C232:G232"/>
    <mergeCell ref="H232:J232"/>
    <mergeCell ref="C226:G226"/>
    <mergeCell ref="H226:J226"/>
    <mergeCell ref="C227:G227"/>
    <mergeCell ref="H227:J227"/>
    <mergeCell ref="C228:G228"/>
    <mergeCell ref="H228:J228"/>
    <mergeCell ref="C236:G236"/>
    <mergeCell ref="C237:G237"/>
    <mergeCell ref="H237:J237"/>
    <mergeCell ref="C238:G238"/>
    <mergeCell ref="H238:J238"/>
    <mergeCell ref="C239:G239"/>
    <mergeCell ref="H239:J239"/>
    <mergeCell ref="C233:G233"/>
    <mergeCell ref="H233:J233"/>
    <mergeCell ref="C234:G234"/>
    <mergeCell ref="H234:J234"/>
    <mergeCell ref="C235:G235"/>
    <mergeCell ref="H235:J235"/>
    <mergeCell ref="C245:G245"/>
    <mergeCell ref="C246:G246"/>
    <mergeCell ref="C247:G247"/>
    <mergeCell ref="H247:J247"/>
    <mergeCell ref="C248:G248"/>
    <mergeCell ref="H248:J248"/>
    <mergeCell ref="C240:G240"/>
    <mergeCell ref="H240:J240"/>
    <mergeCell ref="C241:G241"/>
    <mergeCell ref="H241:J241"/>
    <mergeCell ref="C242:G242"/>
    <mergeCell ref="H242:J242"/>
    <mergeCell ref="C252:G252"/>
    <mergeCell ref="H252:J252"/>
    <mergeCell ref="C253:G253"/>
    <mergeCell ref="C254:G254"/>
    <mergeCell ref="H254:J254"/>
    <mergeCell ref="C255:G255"/>
    <mergeCell ref="H255:J255"/>
    <mergeCell ref="C249:G249"/>
    <mergeCell ref="H249:J249"/>
    <mergeCell ref="C250:G250"/>
    <mergeCell ref="H250:J250"/>
    <mergeCell ref="C251:G251"/>
    <mergeCell ref="H251:J251"/>
    <mergeCell ref="C259:G259"/>
    <mergeCell ref="H259:J259"/>
    <mergeCell ref="C260:G260"/>
    <mergeCell ref="C261:G261"/>
    <mergeCell ref="H261:J261"/>
    <mergeCell ref="C262:G262"/>
    <mergeCell ref="H262:J262"/>
    <mergeCell ref="C256:G256"/>
    <mergeCell ref="H256:J256"/>
    <mergeCell ref="C257:G257"/>
    <mergeCell ref="H257:J257"/>
    <mergeCell ref="C258:G258"/>
    <mergeCell ref="H258:J258"/>
    <mergeCell ref="C266:G266"/>
    <mergeCell ref="H266:J266"/>
    <mergeCell ref="C267:G267"/>
    <mergeCell ref="C268:G268"/>
    <mergeCell ref="H268:J268"/>
    <mergeCell ref="C269:G269"/>
    <mergeCell ref="H269:J269"/>
    <mergeCell ref="C263:G263"/>
    <mergeCell ref="H263:J263"/>
    <mergeCell ref="C264:G264"/>
    <mergeCell ref="H264:J264"/>
    <mergeCell ref="C265:G265"/>
    <mergeCell ref="H265:J265"/>
    <mergeCell ref="C273:G273"/>
    <mergeCell ref="H273:J273"/>
    <mergeCell ref="C278:G278"/>
    <mergeCell ref="C279:G279"/>
    <mergeCell ref="C280:G280"/>
    <mergeCell ref="H280:J280"/>
    <mergeCell ref="C270:G270"/>
    <mergeCell ref="H270:J270"/>
    <mergeCell ref="C271:G271"/>
    <mergeCell ref="H271:J271"/>
    <mergeCell ref="C272:G272"/>
    <mergeCell ref="H272:J272"/>
    <mergeCell ref="C284:G284"/>
    <mergeCell ref="C285:G285"/>
    <mergeCell ref="H285:J285"/>
    <mergeCell ref="C286:G286"/>
    <mergeCell ref="H286:J286"/>
    <mergeCell ref="C287:G287"/>
    <mergeCell ref="H287:J287"/>
    <mergeCell ref="C281:G281"/>
    <mergeCell ref="H281:J281"/>
    <mergeCell ref="C282:G282"/>
    <mergeCell ref="H282:J282"/>
    <mergeCell ref="C283:G283"/>
    <mergeCell ref="H283:J283"/>
    <mergeCell ref="C292:G292"/>
    <mergeCell ref="H292:J292"/>
    <mergeCell ref="C293:G293"/>
    <mergeCell ref="H293:J293"/>
    <mergeCell ref="C294:G294"/>
    <mergeCell ref="H294:J294"/>
    <mergeCell ref="C288:G288"/>
    <mergeCell ref="H288:J288"/>
    <mergeCell ref="C289:G289"/>
    <mergeCell ref="H289:J289"/>
    <mergeCell ref="C290:G290"/>
    <mergeCell ref="C291:G291"/>
    <mergeCell ref="H291:J291"/>
  </mergeCells>
  <pageMargins left="0.375" right="0.46875" top="0.78740157499999996" bottom="0.78740157499999996" header="0.3" footer="0.3"/>
  <pageSetup paperSize="9" orientation="portrait" r:id="rId1"/>
  <headerFooter>
    <oddHeader xml:space="preserve">&amp;LPKI Maturity Model
version 1.0&amp;R&amp;G
</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5" id="{08A30A1D-CE06-4082-8189-A0F3E1AB72DA}">
            <xm:f>$F77=tech!$A$18</xm:f>
            <x14:dxf>
              <font>
                <color theme="1" tint="0.499984740745262"/>
              </font>
              <fill>
                <patternFill>
                  <bgColor theme="0" tint="-0.24994659260841701"/>
                </patternFill>
              </fill>
            </x14:dxf>
          </x14:cfRule>
          <xm:sqref>B77 B79 B81 B83 B87 B89 B91 B93 B95 B97 B99 B101 B103 B105 B107 B109 B111 B113 B115</xm:sqref>
        </x14:conditionalFormatting>
        <x14:conditionalFormatting xmlns:xm="http://schemas.microsoft.com/office/excel/2006/main">
          <x14:cfRule type="expression" priority="1" id="{4022E7E1-E11E-4203-8E1A-7926AAB6C7F0}">
            <xm:f>$B$5=tech!$A$233</xm:f>
            <x14:dxf>
              <font>
                <color theme="0"/>
              </font>
              <fill>
                <patternFill>
                  <bgColor theme="0"/>
                </patternFill>
              </fill>
              <border>
                <left/>
                <right/>
                <top/>
                <bottom/>
                <vertical/>
                <horizontal/>
              </border>
            </x14:dxf>
          </x14:cfRule>
          <xm:sqref>B36:J177</xm:sqref>
        </x14:conditionalFormatting>
        <x14:conditionalFormatting xmlns:xm="http://schemas.microsoft.com/office/excel/2006/main">
          <x14:cfRule type="expression" priority="2" id="{833872B1-0CBF-4947-BB68-AE1FA4007B1D}">
            <xm:f>OR($B$5=tech!$A$233,$B$5=tech!$A$234)</xm:f>
            <x14:dxf>
              <font>
                <color theme="0"/>
              </font>
              <fill>
                <patternFill>
                  <bgColor theme="0"/>
                </patternFill>
              </fill>
              <border>
                <left/>
                <right/>
                <top/>
                <bottom/>
                <vertical/>
                <horizontal/>
              </border>
            </x14:dxf>
          </x14:cfRule>
          <xm:sqref>B180:J294</xm:sqref>
        </x14:conditionalFormatting>
        <x14:conditionalFormatting xmlns:xm="http://schemas.microsoft.com/office/excel/2006/main">
          <x14:cfRule type="cellIs" priority="3" operator="equal" id="{D0DF2A7F-5F7D-406E-B0F3-AF389367244F}">
            <xm:f>tech!$A$18</xm:f>
            <x14:dxf>
              <fill>
                <patternFill>
                  <bgColor theme="0" tint="-4.9989318521683403E-2"/>
                </patternFill>
              </fill>
            </x14:dxf>
          </x14:cfRule>
          <xm:sqref>F77 F79 F81 F83 F87 F89 F91 F93 F95 F97 F99 F101 F103 F105 F107 F109 F111 F113 F115</xm:sqref>
        </x14:conditionalFormatting>
        <x14:conditionalFormatting xmlns:xm="http://schemas.microsoft.com/office/excel/2006/main">
          <x14:cfRule type="expression" priority="4" id="{F9CC863A-F3FC-492A-AE3F-2D5C4B5CFBD5}">
            <xm:f>$F77=tech!$A$18</xm:f>
            <x14:dxf>
              <font>
                <color theme="0" tint="-4.9989318521683403E-2"/>
              </font>
              <fill>
                <patternFill>
                  <bgColor theme="0" tint="-4.9989318521683403E-2"/>
                </patternFill>
              </fill>
            </x14:dxf>
          </x14:cfRule>
          <xm:sqref>H77:J77 H79:J79 H81:J81 H83:J83 H87:J87 H89:J89 H91:J91 H93:J93 H95:J95 H97:J97 H99:J99 H101:J101 H103:J103 H105:J105 H107:J107 H109:J109 H111:J111 H113:J113 H115:J115</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70FCC320-8760-43B4-A9D5-84C5D80F9FB7}">
          <x14:formula1>
            <xm:f>tech!$A$233:$A$235</xm:f>
          </x14:formula1>
          <xm:sqref>B5:J7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14</vt:i4>
      </vt:variant>
    </vt:vector>
  </HeadingPairs>
  <TitlesOfParts>
    <vt:vector size="14" baseType="lpstr">
      <vt:lpstr>Guidance</vt:lpstr>
      <vt:lpstr>Overview</vt:lpstr>
      <vt:lpstr>Scoping</vt:lpstr>
      <vt:lpstr>Assessment</vt:lpstr>
      <vt:lpstr>Evaluation</vt:lpstr>
      <vt:lpstr>AttestationReport</vt:lpstr>
      <vt:lpstr>AssessmentReport</vt:lpstr>
      <vt:lpstr>DetailedReport</vt:lpstr>
      <vt:lpstr>Reporting</vt:lpstr>
      <vt:lpstr>ActionPlans</vt:lpstr>
      <vt:lpstr>©</vt:lpstr>
      <vt:lpstr>RepoData</vt:lpstr>
      <vt:lpstr>tech</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Jiri Lucky</dc:creator>
  <cp:lastModifiedBy>Jiří Lucký</cp:lastModifiedBy>
  <dcterms:created xsi:type="dcterms:W3CDTF">2023-05-11T12:33:58Z</dcterms:created>
  <dcterms:modified xsi:type="dcterms:W3CDTF">2024-03-18T10:41:17Z</dcterms:modified>
</cp:coreProperties>
</file>